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ldrup\Documents\DOK\Lillg\E Ekonomi\E 2019\"/>
    </mc:Choice>
  </mc:AlternateContent>
  <bookViews>
    <workbookView xWindow="0" yWindow="0" windowWidth="28800" windowHeight="12435" tabRatio="683"/>
  </bookViews>
  <sheets>
    <sheet name="1 Innehållsförteckning" sheetId="2" r:id="rId1"/>
    <sheet name="2.1 Resultaträkning" sheetId="3" r:id="rId2"/>
    <sheet name="2.2 Balansräkning" sheetId="4" r:id="rId3"/>
    <sheet name="2.3 Kassaflödesanalys" sheetId="5" r:id="rId4"/>
    <sheet name="3.1 Antaganden" sheetId="6" r:id="rId5"/>
    <sheet name="3.2 Resultaträkning" sheetId="7" r:id="rId6"/>
    <sheet name="3.3 Balansräkning" sheetId="8" r:id="rId7"/>
    <sheet name="3.4 Kassaflödesanalys" sheetId="9" r:id="rId8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8" l="1"/>
  <c r="C17" i="8"/>
  <c r="C22" i="8"/>
  <c r="C43" i="8"/>
  <c r="C41" i="8"/>
  <c r="P21" i="9"/>
  <c r="P22" i="9" s="1"/>
  <c r="P17" i="9"/>
  <c r="P18" i="9" s="1"/>
  <c r="P16" i="9"/>
  <c r="P12" i="9"/>
  <c r="P11" i="9"/>
  <c r="P10" i="9"/>
  <c r="P9" i="9"/>
  <c r="P8" i="9"/>
  <c r="P43" i="8"/>
  <c r="P36" i="8"/>
  <c r="P32" i="8"/>
  <c r="P22" i="8"/>
  <c r="P17" i="8"/>
  <c r="P11" i="8"/>
  <c r="P10" i="8"/>
  <c r="P39" i="7"/>
  <c r="P41" i="7" s="1"/>
  <c r="P43" i="7" s="1"/>
  <c r="P34" i="7"/>
  <c r="P32" i="7"/>
  <c r="P30" i="7"/>
  <c r="P27" i="7"/>
  <c r="P26" i="7"/>
  <c r="P25" i="7"/>
  <c r="P24" i="7"/>
  <c r="P23" i="7"/>
  <c r="P22" i="7"/>
  <c r="P21" i="7"/>
  <c r="P20" i="7"/>
  <c r="P19" i="7"/>
  <c r="P28" i="7" s="1"/>
  <c r="P18" i="7"/>
  <c r="P17" i="7"/>
  <c r="P14" i="7"/>
  <c r="O10" i="7"/>
  <c r="P10" i="7"/>
  <c r="P8" i="7"/>
  <c r="O97" i="6"/>
  <c r="O98" i="6" s="1"/>
  <c r="O93" i="6"/>
  <c r="O94" i="6" s="1"/>
  <c r="O89" i="6"/>
  <c r="O90" i="6" s="1"/>
  <c r="O86" i="6"/>
  <c r="O84" i="6" s="1"/>
  <c r="O85" i="6"/>
  <c r="O81" i="6"/>
  <c r="O78" i="6"/>
  <c r="O76" i="6" s="1"/>
  <c r="O77" i="6"/>
  <c r="O73" i="6"/>
  <c r="O74" i="6" s="1"/>
  <c r="O72" i="6" s="1"/>
  <c r="O70" i="6"/>
  <c r="O68" i="6" s="1"/>
  <c r="O69" i="6"/>
  <c r="O65" i="6"/>
  <c r="O66" i="6" s="1"/>
  <c r="O61" i="6"/>
  <c r="O62" i="6" s="1"/>
  <c r="O60" i="6" s="1"/>
  <c r="O57" i="6"/>
  <c r="O58" i="6" s="1"/>
  <c r="O26" i="6"/>
  <c r="O21" i="6"/>
  <c r="O17" i="6"/>
  <c r="O15" i="6"/>
  <c r="O14" i="6"/>
  <c r="O12" i="6"/>
  <c r="O11" i="6"/>
  <c r="C28" i="7"/>
  <c r="C39" i="7"/>
  <c r="C37" i="7"/>
  <c r="C32" i="7"/>
  <c r="C27" i="7"/>
  <c r="C26" i="7"/>
  <c r="C25" i="7"/>
  <c r="C24" i="7"/>
  <c r="C23" i="7"/>
  <c r="C22" i="7"/>
  <c r="C21" i="7"/>
  <c r="C20" i="7"/>
  <c r="C19" i="7"/>
  <c r="C18" i="7"/>
  <c r="C17" i="7"/>
  <c r="C12" i="7"/>
  <c r="C10" i="7"/>
  <c r="C8" i="7"/>
  <c r="D8" i="7" s="1"/>
  <c r="L24" i="4"/>
  <c r="K24" i="4"/>
  <c r="O101" i="6" l="1"/>
  <c r="O92" i="6"/>
  <c r="O82" i="6"/>
  <c r="O80" i="6" s="1"/>
  <c r="O64" i="6"/>
  <c r="O96" i="6"/>
  <c r="O56" i="6"/>
  <c r="O88" i="6"/>
  <c r="L30" i="5"/>
  <c r="L29" i="5"/>
  <c r="L28" i="5"/>
  <c r="L26" i="5"/>
  <c r="L25" i="5"/>
  <c r="L22" i="5"/>
  <c r="L21" i="5"/>
  <c r="L18" i="5"/>
  <c r="L17" i="5"/>
  <c r="L16" i="5"/>
  <c r="L12" i="5"/>
  <c r="L11" i="5"/>
  <c r="L10" i="5"/>
  <c r="L9" i="5"/>
  <c r="L8" i="5"/>
  <c r="L28" i="3"/>
  <c r="L30" i="3" s="1"/>
  <c r="O100" i="6" l="1"/>
  <c r="K34" i="4"/>
  <c r="L35" i="4" s="1"/>
  <c r="L45" i="4"/>
  <c r="L43" i="4"/>
  <c r="L16" i="4"/>
  <c r="L14" i="4" s="1"/>
  <c r="L19" i="4" s="1"/>
  <c r="L26" i="4"/>
  <c r="L22" i="4"/>
  <c r="L17" i="4"/>
  <c r="L15" i="4"/>
  <c r="L10" i="4"/>
  <c r="L11" i="4"/>
  <c r="L34" i="3"/>
  <c r="L41" i="3" s="1"/>
  <c r="L43" i="3" s="1"/>
  <c r="L36" i="4" s="1"/>
  <c r="L14" i="3"/>
  <c r="L28" i="4" l="1"/>
  <c r="L34" i="4"/>
  <c r="L38" i="4" s="1"/>
  <c r="L47" i="4" s="1"/>
  <c r="K38" i="4"/>
  <c r="N21" i="6"/>
  <c r="M21" i="6"/>
  <c r="L21" i="6"/>
  <c r="K21" i="6"/>
  <c r="J21" i="6"/>
  <c r="I21" i="6"/>
  <c r="H21" i="6"/>
  <c r="G21" i="6"/>
  <c r="F21" i="6"/>
  <c r="E21" i="6"/>
  <c r="D21" i="6"/>
  <c r="C21" i="6"/>
  <c r="N17" i="6"/>
  <c r="M17" i="6"/>
  <c r="L17" i="6"/>
  <c r="K17" i="6"/>
  <c r="J17" i="6"/>
  <c r="I17" i="6"/>
  <c r="H17" i="6"/>
  <c r="G17" i="6"/>
  <c r="F17" i="6"/>
  <c r="E17" i="6"/>
  <c r="D17" i="6"/>
  <c r="C17" i="6"/>
  <c r="N15" i="6"/>
  <c r="M15" i="6"/>
  <c r="L15" i="6"/>
  <c r="K15" i="6"/>
  <c r="J15" i="6"/>
  <c r="I15" i="6"/>
  <c r="H15" i="6"/>
  <c r="G15" i="6"/>
  <c r="F15" i="6"/>
  <c r="E15" i="6"/>
  <c r="D15" i="6"/>
  <c r="N14" i="6"/>
  <c r="M14" i="6"/>
  <c r="L14" i="6"/>
  <c r="K14" i="6"/>
  <c r="J14" i="6"/>
  <c r="I14" i="6"/>
  <c r="H14" i="6"/>
  <c r="G14" i="6"/>
  <c r="F14" i="6"/>
  <c r="E14" i="6"/>
  <c r="D14" i="6"/>
  <c r="N12" i="6"/>
  <c r="M12" i="6"/>
  <c r="L12" i="6"/>
  <c r="K12" i="6"/>
  <c r="J12" i="6"/>
  <c r="I12" i="6"/>
  <c r="H12" i="6"/>
  <c r="G12" i="6"/>
  <c r="F12" i="6"/>
  <c r="E12" i="6"/>
  <c r="D12" i="6"/>
  <c r="N11" i="6"/>
  <c r="M11" i="6"/>
  <c r="L11" i="6"/>
  <c r="K11" i="6"/>
  <c r="J11" i="6"/>
  <c r="I11" i="6"/>
  <c r="H11" i="6"/>
  <c r="G11" i="6"/>
  <c r="F11" i="6"/>
  <c r="E11" i="6"/>
  <c r="D11" i="6"/>
  <c r="C11" i="6"/>
  <c r="C12" i="6"/>
  <c r="C14" i="6"/>
  <c r="C15" i="6"/>
  <c r="L48" i="4" l="1"/>
  <c r="G16" i="8"/>
  <c r="F53" i="6"/>
  <c r="B96" i="6"/>
  <c r="C97" i="6" s="1"/>
  <c r="C96" i="6" s="1"/>
  <c r="D97" i="6" s="1"/>
  <c r="D96" i="6" s="1"/>
  <c r="E97" i="6" s="1"/>
  <c r="E98" i="6" l="1"/>
  <c r="C25" i="9"/>
  <c r="C26" i="9" s="1"/>
  <c r="O21" i="9"/>
  <c r="O22" i="9" s="1"/>
  <c r="N21" i="9"/>
  <c r="N22" i="9" s="1"/>
  <c r="M21" i="9"/>
  <c r="M22" i="9" s="1"/>
  <c r="L21" i="9"/>
  <c r="L22" i="9" s="1"/>
  <c r="K21" i="9"/>
  <c r="K22" i="9" s="1"/>
  <c r="J21" i="9"/>
  <c r="J22" i="9" s="1"/>
  <c r="I21" i="9"/>
  <c r="I22" i="9" s="1"/>
  <c r="H21" i="9"/>
  <c r="H22" i="9" s="1"/>
  <c r="G21" i="9"/>
  <c r="G22" i="9" s="1"/>
  <c r="F21" i="9"/>
  <c r="F22" i="9" s="1"/>
  <c r="E21" i="9"/>
  <c r="E22" i="9" s="1"/>
  <c r="D21" i="9"/>
  <c r="D22" i="9" s="1"/>
  <c r="O9" i="9"/>
  <c r="N9" i="9"/>
  <c r="M9" i="9"/>
  <c r="L9" i="9"/>
  <c r="K9" i="9"/>
  <c r="J9" i="9"/>
  <c r="I9" i="9"/>
  <c r="H9" i="9"/>
  <c r="G9" i="9"/>
  <c r="F9" i="9"/>
  <c r="E9" i="9"/>
  <c r="D9" i="9"/>
  <c r="C10" i="9"/>
  <c r="C9" i="9"/>
  <c r="D26" i="6"/>
  <c r="E26" i="6" s="1"/>
  <c r="F26" i="6" s="1"/>
  <c r="G26" i="6" s="1"/>
  <c r="H26" i="6" s="1"/>
  <c r="I26" i="6" s="1"/>
  <c r="J26" i="6" s="1"/>
  <c r="K26" i="6" s="1"/>
  <c r="L26" i="6" s="1"/>
  <c r="M26" i="6" s="1"/>
  <c r="N26" i="6" s="1"/>
  <c r="D41" i="8"/>
  <c r="E41" i="8" s="1"/>
  <c r="C32" i="8"/>
  <c r="D32" i="8" s="1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C21" i="9"/>
  <c r="C22" i="9" s="1"/>
  <c r="D22" i="7"/>
  <c r="E22" i="7" s="1"/>
  <c r="F22" i="7" s="1"/>
  <c r="G22" i="7" s="1"/>
  <c r="H22" i="7" s="1"/>
  <c r="I22" i="7" s="1"/>
  <c r="J22" i="7" s="1"/>
  <c r="K22" i="7" s="1"/>
  <c r="L22" i="7" s="1"/>
  <c r="M22" i="7" s="1"/>
  <c r="N22" i="7" s="1"/>
  <c r="O22" i="7" s="1"/>
  <c r="D24" i="7"/>
  <c r="E24" i="7" s="1"/>
  <c r="F24" i="7" s="1"/>
  <c r="G24" i="7" s="1"/>
  <c r="H24" i="7" s="1"/>
  <c r="I24" i="7" s="1"/>
  <c r="J24" i="7" s="1"/>
  <c r="K24" i="7" s="1"/>
  <c r="L24" i="7" s="1"/>
  <c r="M24" i="7" s="1"/>
  <c r="N24" i="7" s="1"/>
  <c r="O24" i="7" s="1"/>
  <c r="D26" i="7"/>
  <c r="E26" i="7" s="1"/>
  <c r="F26" i="7" s="1"/>
  <c r="G26" i="7" s="1"/>
  <c r="H26" i="7" s="1"/>
  <c r="I26" i="7" s="1"/>
  <c r="J26" i="7" s="1"/>
  <c r="K26" i="7" s="1"/>
  <c r="L26" i="7" s="1"/>
  <c r="M26" i="7" s="1"/>
  <c r="N26" i="7" s="1"/>
  <c r="O26" i="7" s="1"/>
  <c r="E8" i="7"/>
  <c r="F8" i="7" s="1"/>
  <c r="G8" i="7" s="1"/>
  <c r="D25" i="7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O25" i="7" s="1"/>
  <c r="C14" i="7"/>
  <c r="D27" i="7"/>
  <c r="D23" i="7"/>
  <c r="E23" i="7" s="1"/>
  <c r="D21" i="7"/>
  <c r="D20" i="7"/>
  <c r="D19" i="7"/>
  <c r="D18" i="7"/>
  <c r="D17" i="7"/>
  <c r="D10" i="7" s="1"/>
  <c r="E27" i="7" l="1"/>
  <c r="F27" i="7" s="1"/>
  <c r="G27" i="7" s="1"/>
  <c r="H27" i="7" s="1"/>
  <c r="I27" i="7" s="1"/>
  <c r="J27" i="7" s="1"/>
  <c r="K27" i="7" s="1"/>
  <c r="L27" i="7" s="1"/>
  <c r="M27" i="7" s="1"/>
  <c r="N27" i="7" s="1"/>
  <c r="O27" i="7" s="1"/>
  <c r="E18" i="7"/>
  <c r="F18" i="7" s="1"/>
  <c r="G18" i="7" s="1"/>
  <c r="H18" i="7" s="1"/>
  <c r="I18" i="7" s="1"/>
  <c r="J18" i="7" s="1"/>
  <c r="K18" i="7" s="1"/>
  <c r="L18" i="7" s="1"/>
  <c r="M18" i="7" s="1"/>
  <c r="N18" i="7" s="1"/>
  <c r="O18" i="7" s="1"/>
  <c r="E19" i="7"/>
  <c r="F19" i="7" s="1"/>
  <c r="G19" i="7" s="1"/>
  <c r="H19" i="7" s="1"/>
  <c r="I19" i="7" s="1"/>
  <c r="J19" i="7" s="1"/>
  <c r="K19" i="7" s="1"/>
  <c r="L19" i="7" s="1"/>
  <c r="M19" i="7" s="1"/>
  <c r="N19" i="7" s="1"/>
  <c r="O19" i="7" s="1"/>
  <c r="C45" i="8"/>
  <c r="E21" i="7"/>
  <c r="F21" i="7" s="1"/>
  <c r="G21" i="7" s="1"/>
  <c r="H21" i="7" s="1"/>
  <c r="I21" i="7" s="1"/>
  <c r="J21" i="7" s="1"/>
  <c r="K21" i="7" s="1"/>
  <c r="L21" i="7" s="1"/>
  <c r="M21" i="7" s="1"/>
  <c r="N21" i="7" s="1"/>
  <c r="O21" i="7" s="1"/>
  <c r="E20" i="7"/>
  <c r="F20" i="7" s="1"/>
  <c r="G20" i="7" s="1"/>
  <c r="H20" i="7" s="1"/>
  <c r="I20" i="7" s="1"/>
  <c r="J20" i="7" s="1"/>
  <c r="K20" i="7" s="1"/>
  <c r="L20" i="7" s="1"/>
  <c r="M20" i="7" s="1"/>
  <c r="N20" i="7" s="1"/>
  <c r="O20" i="7" s="1"/>
  <c r="F23" i="7"/>
  <c r="G23" i="7" s="1"/>
  <c r="H23" i="7" s="1"/>
  <c r="I23" i="7" s="1"/>
  <c r="J23" i="7" s="1"/>
  <c r="K23" i="7" s="1"/>
  <c r="L23" i="7" s="1"/>
  <c r="M23" i="7" s="1"/>
  <c r="N23" i="7" s="1"/>
  <c r="O23" i="7" s="1"/>
  <c r="D28" i="7"/>
  <c r="D22" i="8" s="1"/>
  <c r="D25" i="9"/>
  <c r="D26" i="9" s="1"/>
  <c r="E17" i="7"/>
  <c r="E25" i="9"/>
  <c r="E26" i="9" s="1"/>
  <c r="F41" i="8"/>
  <c r="D39" i="7"/>
  <c r="D10" i="9" s="1"/>
  <c r="D14" i="7"/>
  <c r="H8" i="7"/>
  <c r="B93" i="6"/>
  <c r="F52" i="6"/>
  <c r="B94" i="6" s="1"/>
  <c r="F49" i="6"/>
  <c r="B82" i="6" s="1"/>
  <c r="B80" i="6" s="1"/>
  <c r="C81" i="6" s="1"/>
  <c r="C82" i="6" s="1"/>
  <c r="C80" i="6" s="1"/>
  <c r="D81" i="6" s="1"/>
  <c r="F40" i="6"/>
  <c r="B58" i="6" s="1"/>
  <c r="B56" i="6" s="1"/>
  <c r="C57" i="6" s="1"/>
  <c r="C58" i="6" s="1"/>
  <c r="F41" i="6"/>
  <c r="F42" i="6"/>
  <c r="B62" i="6" s="1"/>
  <c r="B60" i="6" s="1"/>
  <c r="C61" i="6" s="1"/>
  <c r="F43" i="6"/>
  <c r="B66" i="6" s="1"/>
  <c r="B64" i="6" s="1"/>
  <c r="C65" i="6" s="1"/>
  <c r="F44" i="6"/>
  <c r="F45" i="6"/>
  <c r="F46" i="6"/>
  <c r="B70" i="6" s="1"/>
  <c r="B68" i="6" s="1"/>
  <c r="F47" i="6"/>
  <c r="B74" i="6" s="1"/>
  <c r="B72" i="6" s="1"/>
  <c r="C73" i="6" s="1"/>
  <c r="C74" i="6" s="1"/>
  <c r="C72" i="6" s="1"/>
  <c r="D73" i="6" s="1"/>
  <c r="D74" i="6" s="1"/>
  <c r="F48" i="6"/>
  <c r="B78" i="6" s="1"/>
  <c r="B76" i="6" s="1"/>
  <c r="C77" i="6" s="1"/>
  <c r="F50" i="6"/>
  <c r="B86" i="6" s="1"/>
  <c r="B84" i="6" s="1"/>
  <c r="C85" i="6" s="1"/>
  <c r="C86" i="6" s="1"/>
  <c r="C84" i="6" s="1"/>
  <c r="D85" i="6" s="1"/>
  <c r="D86" i="6" s="1"/>
  <c r="D84" i="6" s="1"/>
  <c r="E85" i="6" s="1"/>
  <c r="F51" i="6"/>
  <c r="B90" i="6" s="1"/>
  <c r="B88" i="6" s="1"/>
  <c r="C89" i="6" s="1"/>
  <c r="F39" i="6"/>
  <c r="D16" i="9" l="1"/>
  <c r="C30" i="7"/>
  <c r="C16" i="9"/>
  <c r="B101" i="6"/>
  <c r="F17" i="7"/>
  <c r="F10" i="7" s="1"/>
  <c r="F14" i="7" s="1"/>
  <c r="F43" i="8" s="1"/>
  <c r="F45" i="8" s="1"/>
  <c r="E10" i="7"/>
  <c r="E14" i="7" s="1"/>
  <c r="E43" i="8" s="1"/>
  <c r="E45" i="8" s="1"/>
  <c r="E28" i="7"/>
  <c r="E22" i="8" s="1"/>
  <c r="E16" i="9" s="1"/>
  <c r="B92" i="6"/>
  <c r="B100" i="6" s="1"/>
  <c r="C66" i="6"/>
  <c r="C64" i="6" s="1"/>
  <c r="D65" i="6" s="1"/>
  <c r="D66" i="6" s="1"/>
  <c r="D64" i="6" s="1"/>
  <c r="E65" i="6" s="1"/>
  <c r="C62" i="6"/>
  <c r="C60" i="6" s="1"/>
  <c r="D61" i="6" s="1"/>
  <c r="D62" i="6" s="1"/>
  <c r="D60" i="6" s="1"/>
  <c r="E61" i="6" s="1"/>
  <c r="E62" i="6" s="1"/>
  <c r="E60" i="6" s="1"/>
  <c r="F61" i="6" s="1"/>
  <c r="C78" i="6"/>
  <c r="C76" i="6" s="1"/>
  <c r="D77" i="6" s="1"/>
  <c r="D30" i="7"/>
  <c r="D43" i="8"/>
  <c r="G41" i="8"/>
  <c r="F25" i="9"/>
  <c r="F26" i="9" s="1"/>
  <c r="E39" i="7"/>
  <c r="E10" i="9" s="1"/>
  <c r="C90" i="6"/>
  <c r="C88" i="6" s="1"/>
  <c r="D89" i="6" s="1"/>
  <c r="C69" i="6"/>
  <c r="I8" i="7"/>
  <c r="E86" i="6"/>
  <c r="E84" i="6" s="1"/>
  <c r="F85" i="6" s="1"/>
  <c r="D82" i="6"/>
  <c r="D80" i="6" s="1"/>
  <c r="E81" i="6" s="1"/>
  <c r="D72" i="6"/>
  <c r="E73" i="6" s="1"/>
  <c r="E74" i="6" s="1"/>
  <c r="C56" i="6"/>
  <c r="D57" i="6" s="1"/>
  <c r="D58" i="6" s="1"/>
  <c r="C29" i="5"/>
  <c r="E25" i="5"/>
  <c r="E26" i="5" s="1"/>
  <c r="F25" i="5"/>
  <c r="F26" i="5" s="1"/>
  <c r="G25" i="5"/>
  <c r="G26" i="5" s="1"/>
  <c r="H25" i="5"/>
  <c r="H26" i="5" s="1"/>
  <c r="I25" i="5"/>
  <c r="I26" i="5" s="1"/>
  <c r="J25" i="5"/>
  <c r="J26" i="5" s="1"/>
  <c r="K25" i="5"/>
  <c r="K26" i="5" s="1"/>
  <c r="D25" i="5"/>
  <c r="D26" i="5" s="1"/>
  <c r="C25" i="5"/>
  <c r="C26" i="5" s="1"/>
  <c r="J22" i="5"/>
  <c r="I22" i="5"/>
  <c r="D21" i="5"/>
  <c r="D22" i="5" s="1"/>
  <c r="E21" i="5"/>
  <c r="E22" i="5" s="1"/>
  <c r="F21" i="5"/>
  <c r="F22" i="5" s="1"/>
  <c r="G21" i="5"/>
  <c r="G22" i="5" s="1"/>
  <c r="I21" i="5"/>
  <c r="J21" i="5"/>
  <c r="C21" i="5"/>
  <c r="C22" i="5" s="1"/>
  <c r="I17" i="5"/>
  <c r="I16" i="5"/>
  <c r="H16" i="5"/>
  <c r="D9" i="5"/>
  <c r="E9" i="5"/>
  <c r="F9" i="5"/>
  <c r="G9" i="5"/>
  <c r="H9" i="5"/>
  <c r="I9" i="5"/>
  <c r="J9" i="5"/>
  <c r="K9" i="5"/>
  <c r="D10" i="5"/>
  <c r="E10" i="5"/>
  <c r="F10" i="5"/>
  <c r="G10" i="5"/>
  <c r="H10" i="5"/>
  <c r="I10" i="5"/>
  <c r="J10" i="5"/>
  <c r="K10" i="5"/>
  <c r="D11" i="5"/>
  <c r="E11" i="5"/>
  <c r="F11" i="5"/>
  <c r="G11" i="5"/>
  <c r="H11" i="5"/>
  <c r="I11" i="5"/>
  <c r="J11" i="5"/>
  <c r="K11" i="5"/>
  <c r="C11" i="5"/>
  <c r="C10" i="5"/>
  <c r="C9" i="5"/>
  <c r="K43" i="4"/>
  <c r="K45" i="4" s="1"/>
  <c r="K22" i="4"/>
  <c r="K16" i="5" s="1"/>
  <c r="K16" i="4"/>
  <c r="K21" i="5" s="1"/>
  <c r="K22" i="5" s="1"/>
  <c r="J43" i="4"/>
  <c r="J45" i="4" s="1"/>
  <c r="J22" i="4"/>
  <c r="J16" i="5" s="1"/>
  <c r="I43" i="4"/>
  <c r="I45" i="4" s="1"/>
  <c r="I22" i="4"/>
  <c r="H43" i="4"/>
  <c r="H45" i="4" s="1"/>
  <c r="H22" i="4"/>
  <c r="H16" i="4"/>
  <c r="H21" i="5" s="1"/>
  <c r="H22" i="5" s="1"/>
  <c r="G43" i="4"/>
  <c r="G45" i="4" s="1"/>
  <c r="G22" i="4"/>
  <c r="G16" i="5" s="1"/>
  <c r="F43" i="4"/>
  <c r="F45" i="4" s="1"/>
  <c r="F22" i="4"/>
  <c r="F16" i="5" s="1"/>
  <c r="E43" i="4"/>
  <c r="E45" i="4" s="1"/>
  <c r="E22" i="4"/>
  <c r="E16" i="5" s="1"/>
  <c r="D43" i="4"/>
  <c r="D45" i="4" s="1"/>
  <c r="D22" i="4"/>
  <c r="D16" i="5" s="1"/>
  <c r="C43" i="4"/>
  <c r="C45" i="4" s="1"/>
  <c r="C22" i="4"/>
  <c r="C16" i="5" s="1"/>
  <c r="D17" i="4"/>
  <c r="E17" i="4"/>
  <c r="F17" i="4"/>
  <c r="G17" i="4"/>
  <c r="H17" i="4"/>
  <c r="I17" i="4"/>
  <c r="J17" i="4"/>
  <c r="K17" i="4"/>
  <c r="C17" i="4"/>
  <c r="C14" i="4" s="1"/>
  <c r="D11" i="4"/>
  <c r="D10" i="4" s="1"/>
  <c r="E11" i="4" s="1"/>
  <c r="E10" i="4" s="1"/>
  <c r="F11" i="4" s="1"/>
  <c r="F10" i="4" s="1"/>
  <c r="G11" i="4" s="1"/>
  <c r="G10" i="4" s="1"/>
  <c r="H11" i="4" s="1"/>
  <c r="H10" i="4" s="1"/>
  <c r="I11" i="4" s="1"/>
  <c r="I10" i="4" s="1"/>
  <c r="J11" i="4" s="1"/>
  <c r="J10" i="4" s="1"/>
  <c r="K11" i="4" s="1"/>
  <c r="K10" i="4" s="1"/>
  <c r="C11" i="8" s="1"/>
  <c r="C10" i="8" s="1"/>
  <c r="D11" i="8" s="1"/>
  <c r="D10" i="8" s="1"/>
  <c r="E11" i="8" s="1"/>
  <c r="E10" i="8" s="1"/>
  <c r="F11" i="8" s="1"/>
  <c r="F10" i="8" s="1"/>
  <c r="G11" i="8" s="1"/>
  <c r="G10" i="8" s="1"/>
  <c r="H11" i="8" s="1"/>
  <c r="H10" i="8" s="1"/>
  <c r="I11" i="8" s="1"/>
  <c r="I10" i="8" s="1"/>
  <c r="J11" i="8" s="1"/>
  <c r="J10" i="8" s="1"/>
  <c r="K11" i="8" s="1"/>
  <c r="K10" i="8" s="1"/>
  <c r="L11" i="8" s="1"/>
  <c r="L10" i="8" s="1"/>
  <c r="M11" i="8" s="1"/>
  <c r="M10" i="8" s="1"/>
  <c r="N11" i="8" s="1"/>
  <c r="N10" i="8" s="1"/>
  <c r="O11" i="8" s="1"/>
  <c r="O10" i="8" s="1"/>
  <c r="C10" i="4"/>
  <c r="K28" i="3"/>
  <c r="J28" i="3"/>
  <c r="I28" i="3"/>
  <c r="H28" i="3"/>
  <c r="G28" i="3"/>
  <c r="F28" i="3"/>
  <c r="E28" i="3"/>
  <c r="D28" i="3"/>
  <c r="K14" i="3"/>
  <c r="J14" i="3"/>
  <c r="I14" i="3"/>
  <c r="H14" i="3"/>
  <c r="G14" i="3"/>
  <c r="F14" i="3"/>
  <c r="E14" i="3"/>
  <c r="D14" i="3"/>
  <c r="C28" i="3"/>
  <c r="C14" i="3"/>
  <c r="C30" i="3" s="1"/>
  <c r="C34" i="3" s="1"/>
  <c r="C41" i="3" s="1"/>
  <c r="C43" i="3" s="1"/>
  <c r="C36" i="4" s="1"/>
  <c r="C34" i="4" s="1"/>
  <c r="C38" i="4" s="1"/>
  <c r="F17" i="9" l="1"/>
  <c r="F28" i="7"/>
  <c r="F30" i="7" s="1"/>
  <c r="G17" i="7"/>
  <c r="G10" i="7" s="1"/>
  <c r="G14" i="7" s="1"/>
  <c r="G43" i="8" s="1"/>
  <c r="G17" i="9" s="1"/>
  <c r="C19" i="4"/>
  <c r="D15" i="4"/>
  <c r="J17" i="5"/>
  <c r="K17" i="5"/>
  <c r="D14" i="4"/>
  <c r="C17" i="5"/>
  <c r="E17" i="5"/>
  <c r="C17" i="9"/>
  <c r="D17" i="5"/>
  <c r="C8" i="5"/>
  <c r="C12" i="5" s="1"/>
  <c r="F17" i="5"/>
  <c r="G17" i="5"/>
  <c r="D30" i="3"/>
  <c r="D34" i="3" s="1"/>
  <c r="C47" i="4"/>
  <c r="H17" i="5"/>
  <c r="E30" i="7"/>
  <c r="C93" i="6"/>
  <c r="E66" i="6"/>
  <c r="E64" i="6" s="1"/>
  <c r="F65" i="6" s="1"/>
  <c r="D78" i="6"/>
  <c r="D76" i="6" s="1"/>
  <c r="E77" i="6" s="1"/>
  <c r="E78" i="6" s="1"/>
  <c r="E76" i="6" s="1"/>
  <c r="F77" i="6" s="1"/>
  <c r="D17" i="9"/>
  <c r="D45" i="8"/>
  <c r="C94" i="6"/>
  <c r="E17" i="9"/>
  <c r="G25" i="9"/>
  <c r="G26" i="9" s="1"/>
  <c r="H41" i="8"/>
  <c r="F39" i="7"/>
  <c r="F10" i="9" s="1"/>
  <c r="D90" i="6"/>
  <c r="D88" i="6" s="1"/>
  <c r="E89" i="6" s="1"/>
  <c r="E90" i="6" s="1"/>
  <c r="E88" i="6" s="1"/>
  <c r="F89" i="6" s="1"/>
  <c r="C70" i="6"/>
  <c r="J8" i="7"/>
  <c r="F86" i="6"/>
  <c r="F84" i="6" s="1"/>
  <c r="G85" i="6" s="1"/>
  <c r="E82" i="6"/>
  <c r="E80" i="6" s="1"/>
  <c r="F81" i="6" s="1"/>
  <c r="E72" i="6"/>
  <c r="F73" i="6" s="1"/>
  <c r="F74" i="6" s="1"/>
  <c r="F62" i="6"/>
  <c r="F60" i="6" s="1"/>
  <c r="G61" i="6" s="1"/>
  <c r="D56" i="6"/>
  <c r="E57" i="6" s="1"/>
  <c r="D35" i="4"/>
  <c r="K30" i="3"/>
  <c r="K34" i="3" s="1"/>
  <c r="J30" i="3"/>
  <c r="J34" i="3" s="1"/>
  <c r="I30" i="3"/>
  <c r="I34" i="3" s="1"/>
  <c r="H30" i="3"/>
  <c r="H34" i="3" s="1"/>
  <c r="G30" i="3"/>
  <c r="G34" i="3" s="1"/>
  <c r="F30" i="3"/>
  <c r="F34" i="3" s="1"/>
  <c r="E30" i="3"/>
  <c r="E34" i="3" s="1"/>
  <c r="F22" i="8" l="1"/>
  <c r="F16" i="9" s="1"/>
  <c r="G45" i="8"/>
  <c r="H17" i="7"/>
  <c r="H10" i="7" s="1"/>
  <c r="H14" i="7" s="1"/>
  <c r="H43" i="8" s="1"/>
  <c r="H17" i="9" s="1"/>
  <c r="G28" i="7"/>
  <c r="G30" i="7" s="1"/>
  <c r="J41" i="3"/>
  <c r="J43" i="3" s="1"/>
  <c r="J36" i="4" s="1"/>
  <c r="J8" i="5"/>
  <c r="J12" i="5" s="1"/>
  <c r="J18" i="5" s="1"/>
  <c r="J28" i="5" s="1"/>
  <c r="D19" i="4"/>
  <c r="E15" i="4"/>
  <c r="E14" i="4" s="1"/>
  <c r="E19" i="4" s="1"/>
  <c r="D41" i="3"/>
  <c r="D43" i="3" s="1"/>
  <c r="D36" i="4" s="1"/>
  <c r="D34" i="4" s="1"/>
  <c r="D8" i="5"/>
  <c r="D12" i="5" s="1"/>
  <c r="D18" i="5" s="1"/>
  <c r="D28" i="5" s="1"/>
  <c r="F41" i="3"/>
  <c r="F43" i="3" s="1"/>
  <c r="F36" i="4" s="1"/>
  <c r="F8" i="5"/>
  <c r="F12" i="5" s="1"/>
  <c r="F18" i="5" s="1"/>
  <c r="F28" i="5" s="1"/>
  <c r="G41" i="3"/>
  <c r="G43" i="3" s="1"/>
  <c r="G36" i="4" s="1"/>
  <c r="G8" i="5"/>
  <c r="G12" i="5" s="1"/>
  <c r="G18" i="5" s="1"/>
  <c r="G28" i="5" s="1"/>
  <c r="K41" i="3"/>
  <c r="K43" i="3" s="1"/>
  <c r="K36" i="4" s="1"/>
  <c r="K8" i="5"/>
  <c r="K12" i="5" s="1"/>
  <c r="K18" i="5" s="1"/>
  <c r="K28" i="5" s="1"/>
  <c r="E41" i="3"/>
  <c r="E43" i="3" s="1"/>
  <c r="E36" i="4" s="1"/>
  <c r="E8" i="5"/>
  <c r="E12" i="5" s="1"/>
  <c r="E18" i="5" s="1"/>
  <c r="E28" i="5" s="1"/>
  <c r="H41" i="3"/>
  <c r="H43" i="3" s="1"/>
  <c r="H36" i="4" s="1"/>
  <c r="H8" i="5"/>
  <c r="H12" i="5" s="1"/>
  <c r="H18" i="5" s="1"/>
  <c r="H28" i="5" s="1"/>
  <c r="C18" i="5"/>
  <c r="C28" i="5" s="1"/>
  <c r="C30" i="5" s="1"/>
  <c r="I41" i="3"/>
  <c r="I43" i="3" s="1"/>
  <c r="I36" i="4" s="1"/>
  <c r="I8" i="5"/>
  <c r="I12" i="5" s="1"/>
  <c r="I18" i="5" s="1"/>
  <c r="I28" i="5" s="1"/>
  <c r="C92" i="6"/>
  <c r="C101" i="6"/>
  <c r="F66" i="6"/>
  <c r="F64" i="6" s="1"/>
  <c r="G65" i="6" s="1"/>
  <c r="G66" i="6" s="1"/>
  <c r="G64" i="6" s="1"/>
  <c r="H65" i="6" s="1"/>
  <c r="C11" i="9"/>
  <c r="C34" i="7"/>
  <c r="H25" i="9"/>
  <c r="H26" i="9" s="1"/>
  <c r="I41" i="8"/>
  <c r="G39" i="7"/>
  <c r="G10" i="9" s="1"/>
  <c r="C68" i="6"/>
  <c r="I17" i="7"/>
  <c r="I10" i="7" s="1"/>
  <c r="I14" i="7" s="1"/>
  <c r="I43" i="8" s="1"/>
  <c r="K8" i="7"/>
  <c r="F90" i="6"/>
  <c r="F88" i="6" s="1"/>
  <c r="G89" i="6" s="1"/>
  <c r="G86" i="6"/>
  <c r="G84" i="6" s="1"/>
  <c r="H85" i="6" s="1"/>
  <c r="F82" i="6"/>
  <c r="F80" i="6" s="1"/>
  <c r="G81" i="6" s="1"/>
  <c r="F78" i="6"/>
  <c r="F76" i="6" s="1"/>
  <c r="G77" i="6" s="1"/>
  <c r="F72" i="6"/>
  <c r="G73" i="6" s="1"/>
  <c r="G74" i="6" s="1"/>
  <c r="G62" i="6"/>
  <c r="G60" i="6" s="1"/>
  <c r="H61" i="6" s="1"/>
  <c r="E58" i="6"/>
  <c r="E56" i="6" s="1"/>
  <c r="F57" i="6" s="1"/>
  <c r="I17" i="9" l="1"/>
  <c r="H45" i="8"/>
  <c r="G22" i="8"/>
  <c r="G16" i="9" s="1"/>
  <c r="H28" i="7"/>
  <c r="H30" i="7" s="1"/>
  <c r="D38" i="4"/>
  <c r="D47" i="4" s="1"/>
  <c r="E35" i="4"/>
  <c r="E34" i="4" s="1"/>
  <c r="E38" i="4" s="1"/>
  <c r="E47" i="4" s="1"/>
  <c r="D29" i="5"/>
  <c r="D30" i="5" s="1"/>
  <c r="C24" i="4"/>
  <c r="C26" i="4" s="1"/>
  <c r="C28" i="4" s="1"/>
  <c r="C48" i="4" s="1"/>
  <c r="F15" i="4"/>
  <c r="F14" i="4" s="1"/>
  <c r="F19" i="4" s="1"/>
  <c r="D93" i="6"/>
  <c r="D94" i="6" s="1"/>
  <c r="C100" i="6"/>
  <c r="D32" i="7"/>
  <c r="D17" i="8"/>
  <c r="C8" i="9"/>
  <c r="C12" i="9" s="1"/>
  <c r="C18" i="9" s="1"/>
  <c r="C28" i="9" s="1"/>
  <c r="C41" i="7"/>
  <c r="C43" i="7" s="1"/>
  <c r="C36" i="8" s="1"/>
  <c r="I25" i="9"/>
  <c r="I26" i="9" s="1"/>
  <c r="J41" i="8"/>
  <c r="I45" i="8"/>
  <c r="H39" i="7"/>
  <c r="H10" i="9" s="1"/>
  <c r="D69" i="6"/>
  <c r="D70" i="6" s="1"/>
  <c r="J17" i="7"/>
  <c r="J10" i="7" s="1"/>
  <c r="J14" i="7" s="1"/>
  <c r="J43" i="8" s="1"/>
  <c r="J17" i="9" s="1"/>
  <c r="I28" i="7"/>
  <c r="L8" i="7"/>
  <c r="G90" i="6"/>
  <c r="G88" i="6" s="1"/>
  <c r="H89" i="6" s="1"/>
  <c r="H86" i="6"/>
  <c r="H84" i="6" s="1"/>
  <c r="I85" i="6" s="1"/>
  <c r="G82" i="6"/>
  <c r="G80" i="6" s="1"/>
  <c r="H81" i="6" s="1"/>
  <c r="G78" i="6"/>
  <c r="G76" i="6" s="1"/>
  <c r="H77" i="6" s="1"/>
  <c r="G72" i="6"/>
  <c r="H73" i="6" s="1"/>
  <c r="H66" i="6"/>
  <c r="H64" i="6" s="1"/>
  <c r="I65" i="6" s="1"/>
  <c r="H62" i="6"/>
  <c r="H60" i="6" s="1"/>
  <c r="I61" i="6" s="1"/>
  <c r="F58" i="6"/>
  <c r="F56" i="6" s="1"/>
  <c r="G57" i="6" s="1"/>
  <c r="H22" i="8" l="1"/>
  <c r="H16" i="9" s="1"/>
  <c r="F35" i="4"/>
  <c r="F34" i="4" s="1"/>
  <c r="G35" i="4" s="1"/>
  <c r="G34" i="4" s="1"/>
  <c r="E29" i="5"/>
  <c r="E30" i="5" s="1"/>
  <c r="D24" i="4"/>
  <c r="D26" i="4" s="1"/>
  <c r="D28" i="4" s="1"/>
  <c r="D48" i="4" s="1"/>
  <c r="G15" i="4"/>
  <c r="G14" i="4" s="1"/>
  <c r="H15" i="4" s="1"/>
  <c r="H14" i="4" s="1"/>
  <c r="I15" i="4" s="1"/>
  <c r="I14" i="4" s="1"/>
  <c r="D92" i="6"/>
  <c r="D101" i="6"/>
  <c r="D34" i="7"/>
  <c r="D11" i="9"/>
  <c r="I30" i="7"/>
  <c r="I22" i="8"/>
  <c r="J25" i="9"/>
  <c r="J26" i="9" s="1"/>
  <c r="J45" i="8"/>
  <c r="K41" i="8"/>
  <c r="I39" i="7"/>
  <c r="I10" i="9" s="1"/>
  <c r="D68" i="6"/>
  <c r="J28" i="7"/>
  <c r="K17" i="7"/>
  <c r="K10" i="7" s="1"/>
  <c r="K14" i="7" s="1"/>
  <c r="K43" i="8" s="1"/>
  <c r="K17" i="9" s="1"/>
  <c r="M8" i="7"/>
  <c r="H90" i="6"/>
  <c r="H88" i="6" s="1"/>
  <c r="I89" i="6" s="1"/>
  <c r="I86" i="6"/>
  <c r="I84" i="6" s="1"/>
  <c r="J85" i="6" s="1"/>
  <c r="H82" i="6"/>
  <c r="H80" i="6" s="1"/>
  <c r="I81" i="6" s="1"/>
  <c r="H78" i="6"/>
  <c r="H76" i="6" s="1"/>
  <c r="I77" i="6" s="1"/>
  <c r="H74" i="6"/>
  <c r="H72" i="6" s="1"/>
  <c r="I73" i="6" s="1"/>
  <c r="I66" i="6"/>
  <c r="I64" i="6" s="1"/>
  <c r="J65" i="6" s="1"/>
  <c r="I62" i="6"/>
  <c r="I60" i="6" s="1"/>
  <c r="J61" i="6" s="1"/>
  <c r="G58" i="6"/>
  <c r="G56" i="6" s="1"/>
  <c r="H57" i="6" s="1"/>
  <c r="H19" i="4"/>
  <c r="I16" i="9" l="1"/>
  <c r="F38" i="4"/>
  <c r="F47" i="4" s="1"/>
  <c r="G19" i="4"/>
  <c r="E24" i="4"/>
  <c r="E26" i="4" s="1"/>
  <c r="E28" i="4" s="1"/>
  <c r="E48" i="4" s="1"/>
  <c r="F29" i="5"/>
  <c r="F30" i="5" s="1"/>
  <c r="E93" i="6"/>
  <c r="E94" i="6" s="1"/>
  <c r="D100" i="6"/>
  <c r="D41" i="7"/>
  <c r="D43" i="7" s="1"/>
  <c r="D36" i="8" s="1"/>
  <c r="D8" i="9"/>
  <c r="D12" i="9" s="1"/>
  <c r="D18" i="9" s="1"/>
  <c r="J30" i="7"/>
  <c r="J22" i="8"/>
  <c r="J16" i="9" s="1"/>
  <c r="E32" i="7"/>
  <c r="E17" i="8"/>
  <c r="K25" i="9"/>
  <c r="K26" i="9" s="1"/>
  <c r="L41" i="8"/>
  <c r="K45" i="8"/>
  <c r="J39" i="7"/>
  <c r="J10" i="9" s="1"/>
  <c r="E69" i="6"/>
  <c r="E70" i="6" s="1"/>
  <c r="K28" i="7"/>
  <c r="L17" i="7"/>
  <c r="L10" i="7" s="1"/>
  <c r="L14" i="7" s="1"/>
  <c r="L43" i="8" s="1"/>
  <c r="L17" i="9" s="1"/>
  <c r="N8" i="7"/>
  <c r="I90" i="6"/>
  <c r="I88" i="6" s="1"/>
  <c r="J89" i="6" s="1"/>
  <c r="J86" i="6"/>
  <c r="J84" i="6" s="1"/>
  <c r="K85" i="6" s="1"/>
  <c r="I82" i="6"/>
  <c r="I80" i="6" s="1"/>
  <c r="J81" i="6" s="1"/>
  <c r="I78" i="6"/>
  <c r="I76" i="6" s="1"/>
  <c r="J77" i="6" s="1"/>
  <c r="I74" i="6"/>
  <c r="I72" i="6" s="1"/>
  <c r="J73" i="6" s="1"/>
  <c r="J66" i="6"/>
  <c r="J64" i="6" s="1"/>
  <c r="K65" i="6" s="1"/>
  <c r="J62" i="6"/>
  <c r="J60" i="6" s="1"/>
  <c r="K61" i="6" s="1"/>
  <c r="H58" i="6"/>
  <c r="H56" i="6" s="1"/>
  <c r="I57" i="6" s="1"/>
  <c r="I58" i="6" s="1"/>
  <c r="I56" i="6" s="1"/>
  <c r="J57" i="6" s="1"/>
  <c r="J58" i="6" s="1"/>
  <c r="J15" i="4"/>
  <c r="J14" i="4" s="1"/>
  <c r="I19" i="4"/>
  <c r="H35" i="4"/>
  <c r="H34" i="4" s="1"/>
  <c r="G38" i="4"/>
  <c r="G47" i="4" s="1"/>
  <c r="F24" i="4" l="1"/>
  <c r="F26" i="4" s="1"/>
  <c r="F28" i="4" s="1"/>
  <c r="F48" i="4" s="1"/>
  <c r="G29" i="5"/>
  <c r="G30" i="5" s="1"/>
  <c r="E92" i="6"/>
  <c r="E101" i="6"/>
  <c r="K30" i="7"/>
  <c r="K22" i="8"/>
  <c r="K16" i="9" s="1"/>
  <c r="D28" i="9"/>
  <c r="E34" i="7"/>
  <c r="E11" i="9"/>
  <c r="L25" i="9"/>
  <c r="L26" i="9" s="1"/>
  <c r="M41" i="8"/>
  <c r="L45" i="8"/>
  <c r="K39" i="7"/>
  <c r="K10" i="9" s="1"/>
  <c r="E68" i="6"/>
  <c r="L28" i="7"/>
  <c r="M17" i="7"/>
  <c r="M10" i="7" s="1"/>
  <c r="M14" i="7" s="1"/>
  <c r="M43" i="8" s="1"/>
  <c r="M17" i="9" s="1"/>
  <c r="O8" i="7"/>
  <c r="J90" i="6"/>
  <c r="J88" i="6" s="1"/>
  <c r="K89" i="6" s="1"/>
  <c r="K86" i="6"/>
  <c r="K84" i="6" s="1"/>
  <c r="L85" i="6" s="1"/>
  <c r="J82" i="6"/>
  <c r="J80" i="6" s="1"/>
  <c r="K81" i="6" s="1"/>
  <c r="J78" i="6"/>
  <c r="J76" i="6" s="1"/>
  <c r="K77" i="6" s="1"/>
  <c r="J74" i="6"/>
  <c r="J72" i="6" s="1"/>
  <c r="K73" i="6" s="1"/>
  <c r="K74" i="6" s="1"/>
  <c r="K66" i="6"/>
  <c r="K64" i="6" s="1"/>
  <c r="L65" i="6" s="1"/>
  <c r="K62" i="6"/>
  <c r="K60" i="6" s="1"/>
  <c r="L61" i="6" s="1"/>
  <c r="J56" i="6"/>
  <c r="K57" i="6" s="1"/>
  <c r="K58" i="6" s="1"/>
  <c r="J19" i="4"/>
  <c r="K15" i="4"/>
  <c r="K14" i="4" s="1"/>
  <c r="I35" i="4"/>
  <c r="I34" i="4" s="1"/>
  <c r="H38" i="4"/>
  <c r="H47" i="4" s="1"/>
  <c r="K19" i="4" l="1"/>
  <c r="C15" i="8"/>
  <c r="C14" i="8" s="1"/>
  <c r="G24" i="4"/>
  <c r="G26" i="4" s="1"/>
  <c r="G28" i="4" s="1"/>
  <c r="G48" i="4" s="1"/>
  <c r="H29" i="5"/>
  <c r="H30" i="5" s="1"/>
  <c r="F93" i="6"/>
  <c r="F94" i="6" s="1"/>
  <c r="L30" i="7"/>
  <c r="L22" i="8"/>
  <c r="L16" i="9" s="1"/>
  <c r="F32" i="7"/>
  <c r="F17" i="8"/>
  <c r="E41" i="7"/>
  <c r="E43" i="7" s="1"/>
  <c r="E36" i="8" s="1"/>
  <c r="E8" i="9"/>
  <c r="E12" i="9" s="1"/>
  <c r="E18" i="9" s="1"/>
  <c r="E28" i="9" s="1"/>
  <c r="M25" i="9"/>
  <c r="M26" i="9" s="1"/>
  <c r="N41" i="8"/>
  <c r="M45" i="8"/>
  <c r="L39" i="7"/>
  <c r="L10" i="9" s="1"/>
  <c r="F69" i="6"/>
  <c r="F70" i="6" s="1"/>
  <c r="M28" i="7"/>
  <c r="N17" i="7"/>
  <c r="N10" i="7" s="1"/>
  <c r="N14" i="7" s="1"/>
  <c r="N43" i="8" s="1"/>
  <c r="N17" i="9" s="1"/>
  <c r="K90" i="6"/>
  <c r="K88" i="6" s="1"/>
  <c r="L89" i="6" s="1"/>
  <c r="L86" i="6"/>
  <c r="L84" i="6" s="1"/>
  <c r="M85" i="6" s="1"/>
  <c r="K82" i="6"/>
  <c r="K80" i="6" s="1"/>
  <c r="L81" i="6" s="1"/>
  <c r="K78" i="6"/>
  <c r="K76" i="6" s="1"/>
  <c r="L77" i="6" s="1"/>
  <c r="K72" i="6"/>
  <c r="L73" i="6" s="1"/>
  <c r="L74" i="6" s="1"/>
  <c r="L66" i="6"/>
  <c r="L64" i="6" s="1"/>
  <c r="M65" i="6" s="1"/>
  <c r="L62" i="6"/>
  <c r="L60" i="6" s="1"/>
  <c r="M61" i="6" s="1"/>
  <c r="K56" i="6"/>
  <c r="L57" i="6" s="1"/>
  <c r="L58" i="6" s="1"/>
  <c r="J35" i="4"/>
  <c r="J34" i="4" s="1"/>
  <c r="I38" i="4"/>
  <c r="I47" i="4" s="1"/>
  <c r="I29" i="5" l="1"/>
  <c r="I30" i="5" s="1"/>
  <c r="H24" i="4"/>
  <c r="H26" i="4" s="1"/>
  <c r="H28" i="4" s="1"/>
  <c r="H48" i="4" s="1"/>
  <c r="D15" i="8"/>
  <c r="D14" i="8" s="1"/>
  <c r="C19" i="8"/>
  <c r="F92" i="6"/>
  <c r="L72" i="6"/>
  <c r="M73" i="6" s="1"/>
  <c r="M74" i="6" s="1"/>
  <c r="M30" i="7"/>
  <c r="M22" i="8"/>
  <c r="M16" i="9" s="1"/>
  <c r="F34" i="7"/>
  <c r="F11" i="9"/>
  <c r="N25" i="9"/>
  <c r="N26" i="9" s="1"/>
  <c r="O41" i="8"/>
  <c r="P41" i="8" s="1"/>
  <c r="N45" i="8"/>
  <c r="M39" i="7"/>
  <c r="M10" i="9" s="1"/>
  <c r="F68" i="6"/>
  <c r="O17" i="7"/>
  <c r="N28" i="7"/>
  <c r="L90" i="6"/>
  <c r="L88" i="6" s="1"/>
  <c r="M89" i="6" s="1"/>
  <c r="M86" i="6"/>
  <c r="M84" i="6" s="1"/>
  <c r="N85" i="6" s="1"/>
  <c r="L82" i="6"/>
  <c r="L80" i="6" s="1"/>
  <c r="M81" i="6" s="1"/>
  <c r="L78" i="6"/>
  <c r="L76" i="6" s="1"/>
  <c r="M77" i="6" s="1"/>
  <c r="M66" i="6"/>
  <c r="M64" i="6" s="1"/>
  <c r="N65" i="6" s="1"/>
  <c r="M62" i="6"/>
  <c r="M60" i="6" s="1"/>
  <c r="N61" i="6" s="1"/>
  <c r="L56" i="6"/>
  <c r="M57" i="6" s="1"/>
  <c r="M58" i="6" s="1"/>
  <c r="K35" i="4"/>
  <c r="J38" i="4"/>
  <c r="J47" i="4" s="1"/>
  <c r="P25" i="9" l="1"/>
  <c r="P26" i="9" s="1"/>
  <c r="P28" i="9" s="1"/>
  <c r="P45" i="8"/>
  <c r="E15" i="8"/>
  <c r="E14" i="8" s="1"/>
  <c r="D19" i="8"/>
  <c r="K47" i="4"/>
  <c r="C35" i="8"/>
  <c r="C34" i="8" s="1"/>
  <c r="J29" i="5"/>
  <c r="J30" i="5" s="1"/>
  <c r="I24" i="4"/>
  <c r="I26" i="4" s="1"/>
  <c r="I28" i="4" s="1"/>
  <c r="I48" i="4" s="1"/>
  <c r="O28" i="7"/>
  <c r="O22" i="8" s="1"/>
  <c r="O14" i="7"/>
  <c r="O43" i="8" s="1"/>
  <c r="O17" i="9" s="1"/>
  <c r="G93" i="6"/>
  <c r="G94" i="6" s="1"/>
  <c r="F41" i="7"/>
  <c r="F43" i="7" s="1"/>
  <c r="F36" i="8" s="1"/>
  <c r="F8" i="9"/>
  <c r="F12" i="9" s="1"/>
  <c r="F18" i="9" s="1"/>
  <c r="F28" i="9" s="1"/>
  <c r="N30" i="7"/>
  <c r="N22" i="8"/>
  <c r="N16" i="9" s="1"/>
  <c r="M72" i="6"/>
  <c r="N73" i="6" s="1"/>
  <c r="N74" i="6" s="1"/>
  <c r="O25" i="9"/>
  <c r="O26" i="9" s="1"/>
  <c r="O39" i="7"/>
  <c r="O10" i="9" s="1"/>
  <c r="N39" i="7"/>
  <c r="N10" i="9" s="1"/>
  <c r="G69" i="6"/>
  <c r="M90" i="6"/>
  <c r="M88" i="6" s="1"/>
  <c r="N89" i="6" s="1"/>
  <c r="N86" i="6"/>
  <c r="N84" i="6" s="1"/>
  <c r="M82" i="6"/>
  <c r="M80" i="6" s="1"/>
  <c r="N81" i="6" s="1"/>
  <c r="M78" i="6"/>
  <c r="M76" i="6" s="1"/>
  <c r="N77" i="6" s="1"/>
  <c r="N66" i="6"/>
  <c r="N64" i="6" s="1"/>
  <c r="N62" i="6"/>
  <c r="N60" i="6" s="1"/>
  <c r="M56" i="6"/>
  <c r="N57" i="6" s="1"/>
  <c r="N58" i="6" s="1"/>
  <c r="K29" i="5" l="1"/>
  <c r="K30" i="5" s="1"/>
  <c r="J24" i="4"/>
  <c r="J26" i="4" s="1"/>
  <c r="J28" i="4" s="1"/>
  <c r="J48" i="4" s="1"/>
  <c r="C38" i="8"/>
  <c r="C47" i="8" s="1"/>
  <c r="D35" i="8"/>
  <c r="D34" i="8" s="1"/>
  <c r="F15" i="8"/>
  <c r="F14" i="8" s="1"/>
  <c r="E19" i="8"/>
  <c r="O45" i="8"/>
  <c r="O30" i="7"/>
  <c r="O16" i="9"/>
  <c r="G92" i="6"/>
  <c r="N72" i="6"/>
  <c r="G70" i="6"/>
  <c r="N90" i="6"/>
  <c r="N88" i="6" s="1"/>
  <c r="N82" i="6"/>
  <c r="N80" i="6" s="1"/>
  <c r="N78" i="6"/>
  <c r="N76" i="6" s="1"/>
  <c r="N56" i="6"/>
  <c r="G15" i="8" l="1"/>
  <c r="F19" i="8"/>
  <c r="D38" i="8"/>
  <c r="D47" i="8" s="1"/>
  <c r="E35" i="8"/>
  <c r="E34" i="8" s="1"/>
  <c r="K26" i="4"/>
  <c r="K28" i="4" s="1"/>
  <c r="K48" i="4" s="1"/>
  <c r="C29" i="9"/>
  <c r="C30" i="9" s="1"/>
  <c r="H93" i="6"/>
  <c r="H94" i="6" s="1"/>
  <c r="G68" i="6"/>
  <c r="H69" i="6" s="1"/>
  <c r="C24" i="8" l="1"/>
  <c r="C26" i="8" s="1"/>
  <c r="C28" i="8" s="1"/>
  <c r="C48" i="8" s="1"/>
  <c r="D29" i="9"/>
  <c r="D30" i="9" s="1"/>
  <c r="E38" i="8"/>
  <c r="E47" i="8" s="1"/>
  <c r="F35" i="8"/>
  <c r="F34" i="8" s="1"/>
  <c r="H92" i="6"/>
  <c r="H70" i="6"/>
  <c r="F38" i="8" l="1"/>
  <c r="F47" i="8" s="1"/>
  <c r="G35" i="8"/>
  <c r="D24" i="8"/>
  <c r="D26" i="8" s="1"/>
  <c r="D28" i="8" s="1"/>
  <c r="D48" i="8" s="1"/>
  <c r="E29" i="9"/>
  <c r="E30" i="9" s="1"/>
  <c r="I93" i="6"/>
  <c r="I94" i="6" s="1"/>
  <c r="H68" i="6"/>
  <c r="E24" i="8" l="1"/>
  <c r="E26" i="8" s="1"/>
  <c r="E28" i="8" s="1"/>
  <c r="E48" i="8" s="1"/>
  <c r="F29" i="9"/>
  <c r="F30" i="9" s="1"/>
  <c r="I69" i="6"/>
  <c r="I70" i="6" s="1"/>
  <c r="I92" i="6"/>
  <c r="G29" i="9" l="1"/>
  <c r="F24" i="8"/>
  <c r="F26" i="8" s="1"/>
  <c r="F28" i="8" s="1"/>
  <c r="F48" i="8" s="1"/>
  <c r="I68" i="6"/>
  <c r="J93" i="6"/>
  <c r="J94" i="6" s="1"/>
  <c r="J69" i="6"/>
  <c r="J70" i="6" s="1"/>
  <c r="J92" i="6" l="1"/>
  <c r="J68" i="6"/>
  <c r="K93" i="6" l="1"/>
  <c r="K94" i="6" s="1"/>
  <c r="K69" i="6"/>
  <c r="K70" i="6" s="1"/>
  <c r="K92" i="6" l="1"/>
  <c r="K68" i="6"/>
  <c r="L93" i="6" l="1"/>
  <c r="L94" i="6" s="1"/>
  <c r="L69" i="6"/>
  <c r="L92" i="6" l="1"/>
  <c r="L70" i="6"/>
  <c r="M93" i="6" l="1"/>
  <c r="M94" i="6" s="1"/>
  <c r="L68" i="6"/>
  <c r="M92" i="6" l="1"/>
  <c r="M69" i="6"/>
  <c r="N93" i="6" l="1"/>
  <c r="N94" i="6" s="1"/>
  <c r="M70" i="6"/>
  <c r="N92" i="6" l="1"/>
  <c r="M68" i="6"/>
  <c r="N69" i="6" l="1"/>
  <c r="N70" i="6" s="1"/>
  <c r="N68" i="6" l="1"/>
  <c r="E96" i="6" l="1"/>
  <c r="F97" i="6" l="1"/>
  <c r="E100" i="6"/>
  <c r="F98" i="6" l="1"/>
  <c r="F101" i="6" s="1"/>
  <c r="F96" i="6" l="1"/>
  <c r="G17" i="8"/>
  <c r="G14" i="8" s="1"/>
  <c r="G32" i="7"/>
  <c r="G97" i="6"/>
  <c r="G98" i="6" s="1"/>
  <c r="F100" i="6"/>
  <c r="G96" i="6" l="1"/>
  <c r="G101" i="6"/>
  <c r="G34" i="7"/>
  <c r="G11" i="9"/>
  <c r="H15" i="8"/>
  <c r="G19" i="8"/>
  <c r="H32" i="7" l="1"/>
  <c r="H17" i="8"/>
  <c r="H14" i="8" s="1"/>
  <c r="G41" i="7"/>
  <c r="G43" i="7" s="1"/>
  <c r="G36" i="8" s="1"/>
  <c r="G34" i="8" s="1"/>
  <c r="G8" i="9"/>
  <c r="G12" i="9" s="1"/>
  <c r="G18" i="9" s="1"/>
  <c r="G28" i="9" s="1"/>
  <c r="G30" i="9" s="1"/>
  <c r="H97" i="6"/>
  <c r="H98" i="6" s="1"/>
  <c r="G100" i="6"/>
  <c r="I15" i="8" l="1"/>
  <c r="H19" i="8"/>
  <c r="H29" i="9"/>
  <c r="G24" i="8"/>
  <c r="G26" i="8" s="1"/>
  <c r="G28" i="8" s="1"/>
  <c r="G38" i="8"/>
  <c r="G47" i="8" s="1"/>
  <c r="H35" i="8"/>
  <c r="H11" i="9"/>
  <c r="H34" i="7"/>
  <c r="H96" i="6"/>
  <c r="H101" i="6"/>
  <c r="G48" i="8" l="1"/>
  <c r="H8" i="9"/>
  <c r="H12" i="9" s="1"/>
  <c r="H18" i="9" s="1"/>
  <c r="H28" i="9" s="1"/>
  <c r="H30" i="9" s="1"/>
  <c r="H41" i="7"/>
  <c r="H43" i="7" s="1"/>
  <c r="H36" i="8" s="1"/>
  <c r="H34" i="8" s="1"/>
  <c r="I17" i="8"/>
  <c r="I14" i="8" s="1"/>
  <c r="I32" i="7"/>
  <c r="I97" i="6"/>
  <c r="I98" i="6" s="1"/>
  <c r="H100" i="6"/>
  <c r="I96" i="6" l="1"/>
  <c r="I101" i="6"/>
  <c r="I34" i="7"/>
  <c r="I11" i="9"/>
  <c r="J15" i="8"/>
  <c r="I19" i="8"/>
  <c r="I35" i="8"/>
  <c r="H38" i="8"/>
  <c r="H47" i="8" s="1"/>
  <c r="H24" i="8"/>
  <c r="H26" i="8" s="1"/>
  <c r="H28" i="8" s="1"/>
  <c r="I29" i="9"/>
  <c r="H48" i="8" l="1"/>
  <c r="J32" i="7"/>
  <c r="J17" i="8"/>
  <c r="J14" i="8" s="1"/>
  <c r="I41" i="7"/>
  <c r="I43" i="7" s="1"/>
  <c r="I36" i="8" s="1"/>
  <c r="I34" i="8" s="1"/>
  <c r="I8" i="9"/>
  <c r="I12" i="9" s="1"/>
  <c r="I18" i="9" s="1"/>
  <c r="I28" i="9" s="1"/>
  <c r="I30" i="9" s="1"/>
  <c r="J97" i="6"/>
  <c r="J98" i="6" s="1"/>
  <c r="I100" i="6"/>
  <c r="I38" i="8" l="1"/>
  <c r="I47" i="8" s="1"/>
  <c r="J35" i="8"/>
  <c r="J96" i="6"/>
  <c r="J101" i="6"/>
  <c r="I24" i="8"/>
  <c r="I26" i="8" s="1"/>
  <c r="I28" i="8" s="1"/>
  <c r="J29" i="9"/>
  <c r="K15" i="8"/>
  <c r="J19" i="8"/>
  <c r="J34" i="7"/>
  <c r="J11" i="9"/>
  <c r="K17" i="8" l="1"/>
  <c r="K14" i="8" s="1"/>
  <c r="K32" i="7"/>
  <c r="K97" i="6"/>
  <c r="K98" i="6" s="1"/>
  <c r="J100" i="6"/>
  <c r="J41" i="7"/>
  <c r="J43" i="7" s="1"/>
  <c r="J36" i="8" s="1"/>
  <c r="J34" i="8" s="1"/>
  <c r="J8" i="9"/>
  <c r="J12" i="9" s="1"/>
  <c r="J18" i="9" s="1"/>
  <c r="J28" i="9" s="1"/>
  <c r="J30" i="9" s="1"/>
  <c r="I48" i="8"/>
  <c r="K29" i="9" l="1"/>
  <c r="J24" i="8"/>
  <c r="J26" i="8" s="1"/>
  <c r="J28" i="8" s="1"/>
  <c r="K96" i="6"/>
  <c r="K101" i="6"/>
  <c r="J38" i="8"/>
  <c r="J47" i="8" s="1"/>
  <c r="K35" i="8"/>
  <c r="K34" i="7"/>
  <c r="K11" i="9"/>
  <c r="L15" i="8"/>
  <c r="K19" i="8"/>
  <c r="J48" i="8" l="1"/>
  <c r="K41" i="7"/>
  <c r="K43" i="7" s="1"/>
  <c r="K36" i="8" s="1"/>
  <c r="K34" i="8" s="1"/>
  <c r="K8" i="9"/>
  <c r="K12" i="9" s="1"/>
  <c r="K18" i="9" s="1"/>
  <c r="K28" i="9" s="1"/>
  <c r="K30" i="9" s="1"/>
  <c r="L32" i="7"/>
  <c r="L17" i="8"/>
  <c r="L14" i="8" s="1"/>
  <c r="L97" i="6"/>
  <c r="L98" i="6" s="1"/>
  <c r="K100" i="6"/>
  <c r="L29" i="9" l="1"/>
  <c r="K24" i="8"/>
  <c r="K26" i="8" s="1"/>
  <c r="K28" i="8" s="1"/>
  <c r="L96" i="6"/>
  <c r="L101" i="6"/>
  <c r="M15" i="8"/>
  <c r="L19" i="8"/>
  <c r="L11" i="9"/>
  <c r="L34" i="7"/>
  <c r="L35" i="8"/>
  <c r="K38" i="8"/>
  <c r="K47" i="8" s="1"/>
  <c r="K48" i="8" l="1"/>
  <c r="L41" i="7"/>
  <c r="L43" i="7" s="1"/>
  <c r="L36" i="8" s="1"/>
  <c r="L34" i="8" s="1"/>
  <c r="L8" i="9"/>
  <c r="L12" i="9" s="1"/>
  <c r="L18" i="9" s="1"/>
  <c r="L28" i="9" s="1"/>
  <c r="L30" i="9" s="1"/>
  <c r="M17" i="8"/>
  <c r="M14" i="8" s="1"/>
  <c r="M32" i="7"/>
  <c r="M97" i="6"/>
  <c r="M98" i="6" s="1"/>
  <c r="L100" i="6"/>
  <c r="L24" i="8" l="1"/>
  <c r="L26" i="8" s="1"/>
  <c r="L28" i="8" s="1"/>
  <c r="M29" i="9"/>
  <c r="M96" i="6"/>
  <c r="M101" i="6"/>
  <c r="M11" i="9"/>
  <c r="M34" i="7"/>
  <c r="N15" i="8"/>
  <c r="M19" i="8"/>
  <c r="L38" i="8"/>
  <c r="L47" i="8" s="1"/>
  <c r="M35" i="8"/>
  <c r="L48" i="8" l="1"/>
  <c r="M8" i="9"/>
  <c r="M12" i="9" s="1"/>
  <c r="M18" i="9" s="1"/>
  <c r="M28" i="9" s="1"/>
  <c r="M30" i="9" s="1"/>
  <c r="M41" i="7"/>
  <c r="M43" i="7" s="1"/>
  <c r="M36" i="8" s="1"/>
  <c r="M34" i="8" s="1"/>
  <c r="N32" i="7"/>
  <c r="N17" i="8"/>
  <c r="N14" i="8" s="1"/>
  <c r="N97" i="6"/>
  <c r="N98" i="6" s="1"/>
  <c r="M100" i="6"/>
  <c r="N11" i="9" l="1"/>
  <c r="N34" i="7"/>
  <c r="N19" i="8"/>
  <c r="O15" i="8"/>
  <c r="N96" i="6"/>
  <c r="N100" i="6" s="1"/>
  <c r="N101" i="6"/>
  <c r="M38" i="8"/>
  <c r="M47" i="8" s="1"/>
  <c r="N35" i="8"/>
  <c r="M24" i="8"/>
  <c r="M26" i="8" s="1"/>
  <c r="M28" i="8" s="1"/>
  <c r="N29" i="9"/>
  <c r="M48" i="8" l="1"/>
  <c r="O32" i="7"/>
  <c r="O17" i="8"/>
  <c r="O14" i="8" s="1"/>
  <c r="N8" i="9"/>
  <c r="N12" i="9" s="1"/>
  <c r="N18" i="9" s="1"/>
  <c r="N28" i="9" s="1"/>
  <c r="N30" i="9" s="1"/>
  <c r="N41" i="7"/>
  <c r="N43" i="7" s="1"/>
  <c r="N36" i="8" s="1"/>
  <c r="N34" i="8" s="1"/>
  <c r="O19" i="8" l="1"/>
  <c r="P15" i="8"/>
  <c r="P14" i="8" s="1"/>
  <c r="P19" i="8" s="1"/>
  <c r="O35" i="8"/>
  <c r="N38" i="8"/>
  <c r="N47" i="8" s="1"/>
  <c r="N24" i="8"/>
  <c r="N26" i="8" s="1"/>
  <c r="N28" i="8" s="1"/>
  <c r="O29" i="9"/>
  <c r="O11" i="9"/>
  <c r="O34" i="7"/>
  <c r="O41" i="7" l="1"/>
  <c r="O43" i="7" s="1"/>
  <c r="O36" i="8" s="1"/>
  <c r="O34" i="8" s="1"/>
  <c r="O8" i="9"/>
  <c r="O12" i="9" s="1"/>
  <c r="O18" i="9" s="1"/>
  <c r="O28" i="9" s="1"/>
  <c r="O30" i="9" s="1"/>
  <c r="N48" i="8"/>
  <c r="O24" i="8" l="1"/>
  <c r="O26" i="8" s="1"/>
  <c r="O28" i="8" s="1"/>
  <c r="O48" i="8" s="1"/>
  <c r="P29" i="9"/>
  <c r="P30" i="9" s="1"/>
  <c r="P24" i="8" s="1"/>
  <c r="P26" i="8" s="1"/>
  <c r="P28" i="8" s="1"/>
  <c r="P48" i="8" s="1"/>
  <c r="O38" i="8"/>
  <c r="O47" i="8" s="1"/>
  <c r="P35" i="8"/>
  <c r="P34" i="8" s="1"/>
  <c r="P38" i="8" s="1"/>
  <c r="P47" i="8" s="1"/>
</calcChain>
</file>

<file path=xl/comments1.xml><?xml version="1.0" encoding="utf-8"?>
<comments xmlns="http://schemas.openxmlformats.org/spreadsheetml/2006/main">
  <authors>
    <author>Niklas Hojman</author>
  </authors>
  <commentList>
    <comment ref="F16" authorId="0" shapeId="0">
      <text>
        <r>
          <rPr>
            <b/>
            <sz val="9"/>
            <color indexed="81"/>
            <rFont val="Tahoma"/>
            <family val="2"/>
          </rPr>
          <t xml:space="preserve">Ett avtal med ComHem löper ut 2021-12-31, Fr.o.m. 2022 räknar vi med att vi bara har ett avtal. </t>
        </r>
      </text>
    </comment>
  </commentList>
</comments>
</file>

<file path=xl/sharedStrings.xml><?xml version="1.0" encoding="utf-8"?>
<sst xmlns="http://schemas.openxmlformats.org/spreadsheetml/2006/main" count="338" uniqueCount="149">
  <si>
    <t>Årets resultat</t>
  </si>
  <si>
    <t>Innehållsförteckning</t>
  </si>
  <si>
    <t>2 Historisk information</t>
  </si>
  <si>
    <t>2.1 Resultaträkning</t>
  </si>
  <si>
    <t>2.2 Balansräkning</t>
  </si>
  <si>
    <t>2.3 Kassaflödesanalys</t>
  </si>
  <si>
    <t>3 Prognoser</t>
  </si>
  <si>
    <t>3.1 Antaganden</t>
  </si>
  <si>
    <t>3.2 Resultaträkning</t>
  </si>
  <si>
    <t>3.3 Balansräkning</t>
  </si>
  <si>
    <t>3.4 Kassaflödesanalys</t>
  </si>
  <si>
    <t>Bruttointäkter</t>
  </si>
  <si>
    <t>Övriga intäkter</t>
  </si>
  <si>
    <t>Summa Bruttointäkter</t>
  </si>
  <si>
    <t>Driftskostnader</t>
  </si>
  <si>
    <t>- El (lägenheter)</t>
  </si>
  <si>
    <t>- El (föreningens)</t>
  </si>
  <si>
    <t>- Fjärrvärme</t>
  </si>
  <si>
    <t>- Vatten</t>
  </si>
  <si>
    <t>- Avfallshantering</t>
  </si>
  <si>
    <t>- Kabel-TV, Bredband</t>
  </si>
  <si>
    <t>- Försäkringar</t>
  </si>
  <si>
    <t>- Adm./förvaltning (konsulter, bygg)</t>
  </si>
  <si>
    <t>- Gångbana, tillsyn, trädgård</t>
  </si>
  <si>
    <t>- Reperationer, underhåll (Byggnad)</t>
  </si>
  <si>
    <t>- Fastighetsskatt/kommunal fast.avg.</t>
  </si>
  <si>
    <t>Summa driftskostnader</t>
  </si>
  <si>
    <t>Rörelseresultat</t>
  </si>
  <si>
    <t>Avskrivningar</t>
  </si>
  <si>
    <t>Resultat före finansiella poster</t>
  </si>
  <si>
    <t>Finansiella poster</t>
  </si>
  <si>
    <t>Ränteintäkter</t>
  </si>
  <si>
    <t>Räntekostnader</t>
  </si>
  <si>
    <t>Resultat före skatt</t>
  </si>
  <si>
    <t>Historisk Resultaträkning</t>
  </si>
  <si>
    <t>Dec 31,
2009</t>
  </si>
  <si>
    <t>Dec 31,
2010</t>
  </si>
  <si>
    <t>Dec 31,
2011</t>
  </si>
  <si>
    <t>Dec 31,
2012</t>
  </si>
  <si>
    <t>Dec 31,
2013</t>
  </si>
  <si>
    <t>Dec 31,
2014</t>
  </si>
  <si>
    <t>Dec 31,
2015</t>
  </si>
  <si>
    <t>Dec 31,
2016</t>
  </si>
  <si>
    <t>Dec 31,
2017</t>
  </si>
  <si>
    <t>TILLGÅNGAR</t>
  </si>
  <si>
    <t>Anläggningstillgångar</t>
  </si>
  <si>
    <t>Materiella anläggningstillgångar</t>
  </si>
  <si>
    <t>Fastigheten Thora X (markvärde)</t>
  </si>
  <si>
    <t>- Ingångsvärde</t>
  </si>
  <si>
    <t>- Avskrivning</t>
  </si>
  <si>
    <t>Fastigheten Thora X (byggnadsvärde)</t>
  </si>
  <si>
    <t>- Aktiverad investering</t>
  </si>
  <si>
    <t>Summa anläggningstillgångar</t>
  </si>
  <si>
    <t>Omsättningstillgångar</t>
  </si>
  <si>
    <t>Fordringar</t>
  </si>
  <si>
    <t>Likvida medel</t>
  </si>
  <si>
    <t>Summa omsättningstillgångar</t>
  </si>
  <si>
    <t>Summa tillgångar</t>
  </si>
  <si>
    <t>Eget kapital &amp; Skulder</t>
  </si>
  <si>
    <t>Eget kapital</t>
  </si>
  <si>
    <t>Bundet eget kapital</t>
  </si>
  <si>
    <t>Fritt eget kapital</t>
  </si>
  <si>
    <t>- Årets resultat</t>
  </si>
  <si>
    <t>Summa eget kapital</t>
  </si>
  <si>
    <t>Skulder</t>
  </si>
  <si>
    <t>Långfristiga skulder</t>
  </si>
  <si>
    <t>Kortfristiga skulder</t>
  </si>
  <si>
    <t>Summa skulder</t>
  </si>
  <si>
    <t>Summa skulder &amp; eget kapital</t>
  </si>
  <si>
    <t>Avvikelse</t>
  </si>
  <si>
    <t>Historisk Balansräkning</t>
  </si>
  <si>
    <t>Den löpande verksamheten</t>
  </si>
  <si>
    <t>Erhållna räntor</t>
  </si>
  <si>
    <t>Erlagda räntor</t>
  </si>
  <si>
    <t>Justeringar av poster som inte ingår i kassaflödet</t>
  </si>
  <si>
    <t>Kassaflöde från den löpande verksamheten</t>
  </si>
  <si>
    <t>före förändring av rörelsekapital</t>
  </si>
  <si>
    <t>Kassaflöde från förändringar i rörelsekapital</t>
  </si>
  <si>
    <t>Ökning (-) / Minskning (+) av kortfristiga fordringar</t>
  </si>
  <si>
    <t>Ökning (+) / Minskning (-) av kortfristiga skulder</t>
  </si>
  <si>
    <t>Investeringsverksamhet</t>
  </si>
  <si>
    <t>Förvärv av materiella anläggningstillgångar</t>
  </si>
  <si>
    <t>Kassaflöde från investeringsverksamheten</t>
  </si>
  <si>
    <t>Finansieringsverksamhet</t>
  </si>
  <si>
    <t>Upptagning (+) / Amortering (-) av långfristig skuld</t>
  </si>
  <si>
    <t>Kassaflöde från finansieringsverksamhet</t>
  </si>
  <si>
    <t>Årets kassaflöde</t>
  </si>
  <si>
    <t>Likvida medel vid årets inledning</t>
  </si>
  <si>
    <t>Likvida medel vid årets slut</t>
  </si>
  <si>
    <t>Brf Lillgårdens Resultaträkning 
per den 31 dec 2017
(SEK, reviderat 2009-2017)</t>
  </si>
  <si>
    <t>Historisk Kassaflödesanalys</t>
  </si>
  <si>
    <t>Antaganden för flerårsöversikt</t>
  </si>
  <si>
    <t>RESULTATRÄKNING</t>
  </si>
  <si>
    <t>Finansiella poster % av nominellt belopp</t>
  </si>
  <si>
    <t>Ränteutgifter (Effektiv ränta på långfristig skuld)</t>
  </si>
  <si>
    <t>BALANSRÄKNING</t>
  </si>
  <si>
    <t>Operationellt kapital</t>
  </si>
  <si>
    <t>Kortfristig fordring % av summa driftkostnad</t>
  </si>
  <si>
    <t>Kortfristig skuld % av summa bruttointäkter</t>
  </si>
  <si>
    <t>Långfristig skuld</t>
  </si>
  <si>
    <t>Årlig amortering % av totala långfristig skuld</t>
  </si>
  <si>
    <t>Investeringar - avskrivning</t>
  </si>
  <si>
    <t>Fönster, balkong</t>
  </si>
  <si>
    <t>Elcentral, stamledn t lgh</t>
  </si>
  <si>
    <t>Tvättmaskin, torktumlare</t>
  </si>
  <si>
    <t>Balkongdörrar</t>
  </si>
  <si>
    <t>Varm/kallvattenrör bytta</t>
  </si>
  <si>
    <t>Torkskåp</t>
  </si>
  <si>
    <t>Tvättmaskin</t>
  </si>
  <si>
    <t>Avloppsrör</t>
  </si>
  <si>
    <t>Relining</t>
  </si>
  <si>
    <t>Balkonger,fasad gård, port</t>
  </si>
  <si>
    <t>Fönster, portar, dörr mot gård</t>
  </si>
  <si>
    <t>Fjärrvärmeväxlare, dusch</t>
  </si>
  <si>
    <t>Tätning grund, gård, cykeltak</t>
  </si>
  <si>
    <t>År/mån för anskaffning</t>
  </si>
  <si>
    <t>Investeringen avser</t>
  </si>
  <si>
    <t>Ursprungigt värde på anskaffning</t>
  </si>
  <si>
    <t>Årlig avskrivning enl plan</t>
  </si>
  <si>
    <t>Vald tid för 
avskriving i År</t>
  </si>
  <si>
    <t>Dec 31,
2018</t>
  </si>
  <si>
    <t>Dec 31,
2019</t>
  </si>
  <si>
    <t>Dec 31,
2020</t>
  </si>
  <si>
    <t>Dec 31,
2021</t>
  </si>
  <si>
    <t>Dec 31,
2022</t>
  </si>
  <si>
    <t>Dec 31,
2023</t>
  </si>
  <si>
    <t>Dec 31,
2024</t>
  </si>
  <si>
    <t>Dec 31,
2025</t>
  </si>
  <si>
    <t>Dec 31,
2026</t>
  </si>
  <si>
    <t>Dec 31,
2027</t>
  </si>
  <si>
    <t>Dec 31,
2028</t>
  </si>
  <si>
    <t>Dec 31,
2029</t>
  </si>
  <si>
    <t>Dec 31,
2030</t>
  </si>
  <si>
    <t>Avskrivningar - flerårsöversikt</t>
  </si>
  <si>
    <t>Totalt byggnadvärde</t>
  </si>
  <si>
    <t>Totala avskrivningar</t>
  </si>
  <si>
    <t>Tak,  ytterfasad</t>
  </si>
  <si>
    <t>Tak, ytterfasad</t>
  </si>
  <si>
    <t>Intäkter %-förändring</t>
  </si>
  <si>
    <t>Kostnader %-förändring</t>
  </si>
  <si>
    <t>Prognos Resultaträkning</t>
  </si>
  <si>
    <t>Prognos Balansräkning</t>
  </si>
  <si>
    <t>Prognos Kassaflödesanalys</t>
  </si>
  <si>
    <t>EGET KAPITAL &amp; SKULDER</t>
  </si>
  <si>
    <t>Medlemsavgifter (Fast)</t>
  </si>
  <si>
    <t>Medlemsavgifter (Rörlig: el)</t>
  </si>
  <si>
    <t>Tvättstugan</t>
  </si>
  <si>
    <t>Tvättstugan (Est.)</t>
  </si>
  <si>
    <t>Dec 31,
2031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</si>
</sst>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_);\(#,##0\);\-\-_)"/>
    <numFmt numFmtId="165" formatCode="#,##0.00_);\(#,##0.00\);\-\-_)"/>
    <numFmt numFmtId="166" formatCode="#,##0.000_);\(#,##0.000\);\-\-_)"/>
    <numFmt numFmtId="167" formatCode="#,##0.0000_);\(#,##0.0000\);\-\-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i/>
      <sz val="10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i/>
      <sz val="8"/>
      <color theme="1"/>
      <name val="Arial"/>
      <family val="2"/>
    </font>
    <font>
      <i/>
      <sz val="8"/>
      <color rgb="FF000000"/>
      <name val="Arial"/>
      <family val="2"/>
    </font>
    <font>
      <b/>
      <i/>
      <sz val="11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rgb="FF3366FF"/>
      <name val="Arial"/>
      <family val="2"/>
    </font>
    <font>
      <b/>
      <sz val="10"/>
      <color rgb="FFFF0000"/>
      <name val="Arial"/>
      <family val="2"/>
    </font>
    <font>
      <b/>
      <sz val="10"/>
      <color rgb="FF3366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i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62">
    <xf numFmtId="0" fontId="0" fillId="0" borderId="0" xfId="0"/>
    <xf numFmtId="0" fontId="0" fillId="2" borderId="0" xfId="0" applyFill="1"/>
    <xf numFmtId="0" fontId="6" fillId="2" borderId="0" xfId="0" applyFont="1" applyFill="1"/>
    <xf numFmtId="0" fontId="1" fillId="2" borderId="0" xfId="0" applyFont="1" applyFill="1"/>
    <xf numFmtId="0" fontId="2" fillId="2" borderId="0" xfId="0" applyFont="1" applyFill="1"/>
    <xf numFmtId="0" fontId="8" fillId="2" borderId="0" xfId="1" applyFont="1" applyFill="1"/>
    <xf numFmtId="0" fontId="1" fillId="0" borderId="0" xfId="0" applyFont="1" applyFill="1"/>
    <xf numFmtId="0" fontId="1" fillId="0" borderId="0" xfId="0" applyFont="1" applyBorder="1"/>
    <xf numFmtId="0" fontId="3" fillId="2" borderId="0" xfId="0" applyFont="1" applyFill="1" applyBorder="1"/>
    <xf numFmtId="0" fontId="1" fillId="2" borderId="0" xfId="0" applyFont="1" applyFill="1" applyBorder="1"/>
    <xf numFmtId="0" fontId="1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right"/>
    </xf>
    <xf numFmtId="0" fontId="9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wrapText="1"/>
    </xf>
    <xf numFmtId="0" fontId="12" fillId="2" borderId="0" xfId="0" applyFont="1" applyFill="1" applyBorder="1" applyAlignment="1">
      <alignment wrapText="1"/>
    </xf>
    <xf numFmtId="164" fontId="1" fillId="2" borderId="0" xfId="0" applyNumberFormat="1" applyFont="1" applyFill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164" fontId="4" fillId="2" borderId="1" xfId="0" applyNumberFormat="1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164" fontId="14" fillId="2" borderId="0" xfId="0" applyNumberFormat="1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wrapText="1"/>
    </xf>
    <xf numFmtId="0" fontId="15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horizontal="left" wrapText="1" indent="1"/>
    </xf>
    <xf numFmtId="164" fontId="14" fillId="2" borderId="3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wrapText="1"/>
    </xf>
    <xf numFmtId="0" fontId="17" fillId="2" borderId="0" xfId="0" applyFont="1" applyFill="1" applyBorder="1" applyAlignment="1">
      <alignment wrapText="1"/>
    </xf>
    <xf numFmtId="164" fontId="16" fillId="2" borderId="0" xfId="0" applyNumberFormat="1" applyFont="1" applyFill="1" applyAlignment="1">
      <alignment horizontal="center"/>
    </xf>
    <xf numFmtId="0" fontId="16" fillId="2" borderId="0" xfId="0" applyFont="1" applyFill="1" applyBorder="1" applyAlignment="1">
      <alignment horizontal="left" wrapText="1" indent="1"/>
    </xf>
    <xf numFmtId="0" fontId="17" fillId="2" borderId="0" xfId="0" applyFont="1" applyFill="1" applyBorder="1" applyAlignment="1">
      <alignment horizontal="left" wrapText="1" indent="1"/>
    </xf>
    <xf numFmtId="164" fontId="12" fillId="2" borderId="0" xfId="0" applyNumberFormat="1" applyFont="1" applyFill="1" applyBorder="1" applyAlignment="1">
      <alignment horizontal="center" wrapText="1"/>
    </xf>
    <xf numFmtId="164" fontId="11" fillId="2" borderId="0" xfId="0" applyNumberFormat="1" applyFont="1" applyFill="1" applyAlignment="1">
      <alignment horizontal="center"/>
    </xf>
    <xf numFmtId="10" fontId="16" fillId="2" borderId="0" xfId="2" applyNumberFormat="1" applyFont="1" applyFill="1" applyAlignment="1">
      <alignment horizontal="center"/>
    </xf>
    <xf numFmtId="0" fontId="3" fillId="2" borderId="0" xfId="0" applyFont="1" applyFill="1"/>
    <xf numFmtId="0" fontId="22" fillId="2" borderId="0" xfId="0" applyFont="1" applyFill="1" applyBorder="1" applyAlignment="1">
      <alignment wrapText="1"/>
    </xf>
    <xf numFmtId="0" fontId="23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right" wrapText="1"/>
    </xf>
    <xf numFmtId="0" fontId="19" fillId="2" borderId="0" xfId="0" applyFont="1" applyFill="1" applyBorder="1" applyAlignment="1">
      <alignment horizontal="right" wrapText="1"/>
    </xf>
    <xf numFmtId="0" fontId="15" fillId="2" borderId="0" xfId="0" applyFont="1" applyFill="1" applyBorder="1" applyAlignment="1">
      <alignment horizontal="right" wrapText="1"/>
    </xf>
    <xf numFmtId="0" fontId="20" fillId="2" borderId="0" xfId="0" applyFont="1" applyFill="1" applyBorder="1" applyAlignment="1">
      <alignment horizontal="right" wrapText="1"/>
    </xf>
    <xf numFmtId="165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/>
    </xf>
    <xf numFmtId="0" fontId="14" fillId="2" borderId="1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14" fillId="2" borderId="3" xfId="0" applyFont="1" applyFill="1" applyBorder="1" applyAlignment="1">
      <alignment wrapText="1"/>
    </xf>
    <xf numFmtId="0" fontId="24" fillId="2" borderId="0" xfId="0" applyFont="1" applyFill="1" applyBorder="1" applyAlignment="1">
      <alignment wrapText="1"/>
    </xf>
    <xf numFmtId="164" fontId="11" fillId="2" borderId="0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14" fillId="2" borderId="0" xfId="0" applyFont="1" applyFill="1" applyBorder="1" applyAlignment="1">
      <alignment wrapText="1"/>
    </xf>
    <xf numFmtId="17" fontId="11" fillId="2" borderId="0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center" wrapText="1"/>
    </xf>
    <xf numFmtId="164" fontId="9" fillId="2" borderId="0" xfId="0" applyNumberFormat="1" applyFont="1" applyFill="1" applyAlignment="1">
      <alignment horizontal="center"/>
    </xf>
    <xf numFmtId="0" fontId="25" fillId="2" borderId="0" xfId="0" applyFont="1" applyFill="1"/>
    <xf numFmtId="167" fontId="11" fillId="2" borderId="0" xfId="0" applyNumberFormat="1" applyFont="1" applyFill="1" applyAlignment="1">
      <alignment horizontal="center"/>
    </xf>
    <xf numFmtId="9" fontId="11" fillId="2" borderId="0" xfId="2" applyFont="1" applyFill="1" applyAlignment="1">
      <alignment horizontal="center"/>
    </xf>
  </cellXfs>
  <cellStyles count="3">
    <cellStyle name="Hyperlänk" xfId="1" builtinId="8"/>
    <cellStyle name="Normal" xfId="0" builtinId="0"/>
    <cellStyle name="Pro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1 Inneh&#229;llsf&#246;rteckning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403860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769F9C3-934B-475F-8A21-E1F1493C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09460" cy="5924550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25</xdr:row>
      <xdr:rowOff>66675</xdr:rowOff>
    </xdr:from>
    <xdr:to>
      <xdr:col>12</xdr:col>
      <xdr:colOff>152400</xdr:colOff>
      <xdr:row>31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11D706A9-F056-4E89-AE52-1956AE15B53B}"/>
            </a:ext>
          </a:extLst>
        </xdr:cNvPr>
        <xdr:cNvSpPr txBox="1"/>
      </xdr:nvSpPr>
      <xdr:spPr>
        <a:xfrm>
          <a:off x="4848225" y="4838700"/>
          <a:ext cx="2619375" cy="1152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v-SE" sz="24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Bf</a:t>
          </a:r>
          <a:r>
            <a:rPr lang="sv-SE" sz="24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Lillgården</a:t>
          </a:r>
        </a:p>
        <a:p>
          <a:pPr algn="l"/>
          <a:r>
            <a:rPr lang="sv-SE" sz="24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Andréegatan 8</a:t>
          </a:r>
          <a:endParaRPr lang="aa-ET" sz="2400">
            <a:ln>
              <a:solidFill>
                <a:schemeClr val="bg1"/>
              </a:solidFill>
            </a:ln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571500</xdr:colOff>
      <xdr:row>26</xdr:row>
      <xdr:rowOff>133350</xdr:rowOff>
    </xdr:from>
    <xdr:to>
      <xdr:col>7</xdr:col>
      <xdr:colOff>571500</xdr:colOff>
      <xdr:row>29</xdr:row>
      <xdr:rowOff>180975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xmlns="" id="{82587156-26F8-4D1C-98E9-C0D1CF813156}"/>
            </a:ext>
          </a:extLst>
        </xdr:cNvPr>
        <xdr:cNvCxnSpPr/>
      </xdr:nvCxnSpPr>
      <xdr:spPr>
        <a:xfrm>
          <a:off x="4838700" y="5095875"/>
          <a:ext cx="0" cy="619125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31F202-D413-463C-9364-CB1E2AF57D99}"/>
            </a:ext>
          </a:extLst>
        </xdr:cNvPr>
        <xdr:cNvSpPr/>
      </xdr:nvSpPr>
      <xdr:spPr>
        <a:xfrm>
          <a:off x="95250" y="247651"/>
          <a:ext cx="1981200" cy="43815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22E366B-6F01-4C8E-A1EE-C4385F1F9EB6}"/>
            </a:ext>
          </a:extLst>
        </xdr:cNvPr>
        <xdr:cNvSpPr/>
      </xdr:nvSpPr>
      <xdr:spPr>
        <a:xfrm>
          <a:off x="571500" y="247651"/>
          <a:ext cx="1981200" cy="43815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74FDB24-1E28-4E0D-8AAC-A6A22D0193E8}"/>
            </a:ext>
          </a:extLst>
        </xdr:cNvPr>
        <xdr:cNvSpPr/>
      </xdr:nvSpPr>
      <xdr:spPr>
        <a:xfrm>
          <a:off x="704850" y="247651"/>
          <a:ext cx="1981200" cy="45720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100854</xdr:colOff>
      <xdr:row>1</xdr:row>
      <xdr:rowOff>56030</xdr:rowOff>
    </xdr:from>
    <xdr:to>
      <xdr:col>0</xdr:col>
      <xdr:colOff>2082054</xdr:colOff>
      <xdr:row>2</xdr:row>
      <xdr:rowOff>311524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55BB470-E8DC-4F53-93CC-9DFE5046C0B4}"/>
            </a:ext>
          </a:extLst>
        </xdr:cNvPr>
        <xdr:cNvSpPr/>
      </xdr:nvSpPr>
      <xdr:spPr>
        <a:xfrm>
          <a:off x="100854" y="257736"/>
          <a:ext cx="1981200" cy="45720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C5F92D5-CEAD-43DA-89B4-9948D196167F}"/>
            </a:ext>
          </a:extLst>
        </xdr:cNvPr>
        <xdr:cNvSpPr/>
      </xdr:nvSpPr>
      <xdr:spPr>
        <a:xfrm>
          <a:off x="571500" y="247651"/>
          <a:ext cx="1981200" cy="43815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94BAA7-786F-4593-875F-D8A63F0596E0}"/>
            </a:ext>
          </a:extLst>
        </xdr:cNvPr>
        <xdr:cNvSpPr/>
      </xdr:nvSpPr>
      <xdr:spPr>
        <a:xfrm>
          <a:off x="704850" y="247651"/>
          <a:ext cx="1981200" cy="45720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19051</xdr:rowOff>
    </xdr:from>
    <xdr:to>
      <xdr:col>1</xdr:col>
      <xdr:colOff>2076450</xdr:colOff>
      <xdr:row>3</xdr:row>
      <xdr:rowOff>95251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07D075E-62C4-4D37-B0CC-1F05660B7602}"/>
            </a:ext>
          </a:extLst>
        </xdr:cNvPr>
        <xdr:cNvSpPr/>
      </xdr:nvSpPr>
      <xdr:spPr>
        <a:xfrm>
          <a:off x="704850" y="247651"/>
          <a:ext cx="1981200" cy="457200"/>
        </a:xfrm>
        <a:prstGeom prst="leftArrow">
          <a:avLst/>
        </a:prstGeom>
        <a:solidFill>
          <a:srgbClr val="367976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>
              <a:solidFill>
                <a:schemeClr val="tx1"/>
              </a:solidFill>
              <a:latin typeface="Helvetica"/>
              <a:cs typeface="Helvetica"/>
            </a:rPr>
            <a:t>INNEHÅLLSFÖRTECKNING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O43"/>
  <sheetViews>
    <sheetView tabSelected="1" zoomScaleNormal="100" workbookViewId="0">
      <selection activeCell="O31" sqref="O31"/>
    </sheetView>
  </sheetViews>
  <sheetFormatPr defaultColWidth="0" defaultRowHeight="15" zeroHeight="1" x14ac:dyDescent="0.25"/>
  <cols>
    <col min="1" max="15" width="9.140625" style="1" customWidth="1"/>
    <col min="16" max="16384" width="9.140625" style="1" hidden="1"/>
  </cols>
  <sheetData>
    <row r="1" spans="5:13" x14ac:dyDescent="0.25"/>
    <row r="2" spans="5:13" x14ac:dyDescent="0.25"/>
    <row r="3" spans="5:13" x14ac:dyDescent="0.25"/>
    <row r="4" spans="5:13" x14ac:dyDescent="0.25"/>
    <row r="5" spans="5:13" ht="15.75" x14ac:dyDescent="0.25">
      <c r="M5" s="4" t="s">
        <v>1</v>
      </c>
    </row>
    <row r="6" spans="5:13" x14ac:dyDescent="0.25"/>
    <row r="7" spans="5:13" x14ac:dyDescent="0.25">
      <c r="E7" s="2"/>
      <c r="M7" s="6" t="s">
        <v>2</v>
      </c>
    </row>
    <row r="8" spans="5:13" x14ac:dyDescent="0.25">
      <c r="M8" s="3"/>
    </row>
    <row r="9" spans="5:13" x14ac:dyDescent="0.25">
      <c r="M9" s="5" t="s">
        <v>3</v>
      </c>
    </row>
    <row r="10" spans="5:13" x14ac:dyDescent="0.25">
      <c r="M10" s="3"/>
    </row>
    <row r="11" spans="5:13" x14ac:dyDescent="0.25">
      <c r="M11" s="5" t="s">
        <v>4</v>
      </c>
    </row>
    <row r="12" spans="5:13" x14ac:dyDescent="0.25">
      <c r="M12" s="3"/>
    </row>
    <row r="13" spans="5:13" x14ac:dyDescent="0.25">
      <c r="M13" s="5" t="s">
        <v>5</v>
      </c>
    </row>
    <row r="14" spans="5:13" x14ac:dyDescent="0.25">
      <c r="M14" s="3"/>
    </row>
    <row r="15" spans="5:13" x14ac:dyDescent="0.25">
      <c r="M15" s="3" t="s">
        <v>6</v>
      </c>
    </row>
    <row r="16" spans="5:13" x14ac:dyDescent="0.25">
      <c r="M16" s="3"/>
    </row>
    <row r="17" spans="13:13" x14ac:dyDescent="0.25">
      <c r="M17" s="5" t="s">
        <v>7</v>
      </c>
    </row>
    <row r="18" spans="13:13" x14ac:dyDescent="0.25">
      <c r="M18" s="3"/>
    </row>
    <row r="19" spans="13:13" x14ac:dyDescent="0.25">
      <c r="M19" s="5" t="s">
        <v>8</v>
      </c>
    </row>
    <row r="20" spans="13:13" x14ac:dyDescent="0.25">
      <c r="M20" s="3"/>
    </row>
    <row r="21" spans="13:13" x14ac:dyDescent="0.25">
      <c r="M21" s="5" t="s">
        <v>9</v>
      </c>
    </row>
    <row r="22" spans="13:13" x14ac:dyDescent="0.25">
      <c r="M22" s="3"/>
    </row>
    <row r="23" spans="13:13" x14ac:dyDescent="0.25">
      <c r="M23" s="5" t="s">
        <v>10</v>
      </c>
    </row>
    <row r="24" spans="13:13" x14ac:dyDescent="0.25">
      <c r="M24" s="3"/>
    </row>
    <row r="25" spans="13:13" x14ac:dyDescent="0.25">
      <c r="M25" s="3"/>
    </row>
    <row r="26" spans="13:13" x14ac:dyDescent="0.25">
      <c r="M26" s="3"/>
    </row>
    <row r="27" spans="13:13" x14ac:dyDescent="0.25">
      <c r="M27" s="3"/>
    </row>
    <row r="28" spans="13:13" x14ac:dyDescent="0.25">
      <c r="M28" s="3"/>
    </row>
    <row r="29" spans="13:13" x14ac:dyDescent="0.25">
      <c r="M29" s="3"/>
    </row>
    <row r="30" spans="13:13" x14ac:dyDescent="0.25">
      <c r="M30" s="3"/>
    </row>
    <row r="31" spans="13:13" x14ac:dyDescent="0.25">
      <c r="M31" s="3"/>
    </row>
    <row r="32" spans="13:13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hyperlinks>
    <hyperlink ref="M9" location="'2.1 Resultaträkning'!A1" display="2.1 Resultaträkning"/>
    <hyperlink ref="M11" location="'2.2 Balansräkning'!A1" display="2.2 Balansräkning"/>
    <hyperlink ref="M13" location="'2.3 Kassaflödesanalys'!A1" display="2.3 Kassaflödesanalys"/>
    <hyperlink ref="M17" location="'3.1 Antaganden'!A1" display="3.1 Antaganden"/>
    <hyperlink ref="M19" location="'3.2 Resultaträkning'!A1" display="3.2 Resultaträkning"/>
    <hyperlink ref="M21" location="'3.3 Balansräkning'!A1" display="3.3 Balansräkning"/>
    <hyperlink ref="M23" location="'3.4 Kassaflödesanalys'!A1" display="3.4 Kassaflödesanalys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63"/>
  <sheetViews>
    <sheetView zoomScale="80" zoomScaleNormal="80" workbookViewId="0">
      <pane xSplit="2" ySplit="5" topLeftCell="F15" activePane="bottomRight" state="frozen"/>
      <selection pane="topRight" activeCell="B1" sqref="B1"/>
      <selection pane="bottomLeft" activeCell="A6" sqref="A6"/>
      <selection pane="bottomRight" activeCell="L28" sqref="L28"/>
    </sheetView>
  </sheetViews>
  <sheetFormatPr defaultColWidth="0" defaultRowHeight="14.25" zeroHeight="1" x14ac:dyDescent="0.2"/>
  <cols>
    <col min="1" max="1" width="9.140625" style="9" customWidth="1"/>
    <col min="2" max="2" width="36.7109375" style="7" customWidth="1"/>
    <col min="3" max="13" width="14.7109375" style="7" customWidth="1"/>
    <col min="14" max="14" width="24.28515625" style="7" hidden="1" customWidth="1"/>
    <col min="15" max="16384" width="9.140625" style="7" hidden="1"/>
  </cols>
  <sheetData>
    <row r="1" spans="2:13" ht="18" x14ac:dyDescent="0.25">
      <c r="B1" s="8" t="s">
        <v>34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2:13" x14ac:dyDescent="0.2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2:13" x14ac:dyDescent="0.2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2:13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2:13" ht="44.25" customHeight="1" thickBot="1" x14ac:dyDescent="0.3">
      <c r="B5" s="10" t="s">
        <v>89</v>
      </c>
      <c r="C5" s="17" t="s">
        <v>35</v>
      </c>
      <c r="D5" s="17" t="s">
        <v>36</v>
      </c>
      <c r="E5" s="17" t="s">
        <v>37</v>
      </c>
      <c r="F5" s="17" t="s">
        <v>38</v>
      </c>
      <c r="G5" s="17" t="s">
        <v>39</v>
      </c>
      <c r="H5" s="17" t="s">
        <v>40</v>
      </c>
      <c r="I5" s="17" t="s">
        <v>41</v>
      </c>
      <c r="J5" s="17" t="s">
        <v>42</v>
      </c>
      <c r="K5" s="17" t="s">
        <v>43</v>
      </c>
      <c r="L5" s="17" t="s">
        <v>120</v>
      </c>
      <c r="M5" s="9"/>
    </row>
    <row r="6" spans="2:13" x14ac:dyDescent="0.2">
      <c r="B6" s="11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2:13" ht="15" x14ac:dyDescent="0.25">
      <c r="B7" s="50" t="s">
        <v>11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3" x14ac:dyDescent="0.2">
      <c r="B8" s="13" t="s">
        <v>144</v>
      </c>
      <c r="C8" s="33">
        <v>436542</v>
      </c>
      <c r="D8" s="33">
        <v>457020</v>
      </c>
      <c r="E8" s="33">
        <v>466260</v>
      </c>
      <c r="F8" s="33">
        <v>464724</v>
      </c>
      <c r="G8" s="33">
        <v>469687</v>
      </c>
      <c r="H8" s="33">
        <v>493812</v>
      </c>
      <c r="I8" s="33">
        <v>513420</v>
      </c>
      <c r="J8" s="33">
        <v>528096</v>
      </c>
      <c r="K8" s="33">
        <v>544620</v>
      </c>
      <c r="L8" s="33">
        <v>558768</v>
      </c>
      <c r="M8" s="16"/>
    </row>
    <row r="9" spans="2:13" x14ac:dyDescent="0.2">
      <c r="B9" s="10"/>
      <c r="C9" s="33"/>
      <c r="D9" s="33"/>
      <c r="E9" s="33"/>
      <c r="F9" s="33"/>
      <c r="G9" s="33"/>
      <c r="H9" s="33"/>
      <c r="I9" s="33"/>
      <c r="J9" s="33"/>
      <c r="K9" s="33"/>
      <c r="L9" s="33"/>
      <c r="M9" s="16"/>
    </row>
    <row r="10" spans="2:13" x14ac:dyDescent="0.2">
      <c r="B10" s="13" t="s">
        <v>145</v>
      </c>
      <c r="C10" s="33">
        <v>36605</v>
      </c>
      <c r="D10" s="33">
        <v>45279</v>
      </c>
      <c r="E10" s="33">
        <v>40958</v>
      </c>
      <c r="F10" s="33">
        <v>37953</v>
      </c>
      <c r="G10" s="33">
        <v>41566</v>
      </c>
      <c r="H10" s="33">
        <v>38844</v>
      </c>
      <c r="I10" s="33">
        <v>40183</v>
      </c>
      <c r="J10" s="33">
        <v>45554</v>
      </c>
      <c r="K10" s="33">
        <v>50154</v>
      </c>
      <c r="L10" s="33">
        <v>44734</v>
      </c>
      <c r="M10" s="16"/>
    </row>
    <row r="11" spans="2:13" x14ac:dyDescent="0.2">
      <c r="B11" s="10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16"/>
    </row>
    <row r="12" spans="2:13" x14ac:dyDescent="0.2">
      <c r="B12" s="10" t="s">
        <v>12</v>
      </c>
      <c r="C12" s="33">
        <v>4609</v>
      </c>
      <c r="D12" s="33">
        <v>2150</v>
      </c>
      <c r="E12" s="33">
        <v>7109</v>
      </c>
      <c r="F12" s="33">
        <v>3889</v>
      </c>
      <c r="G12" s="33">
        <v>4409</v>
      </c>
      <c r="H12" s="33">
        <v>4896</v>
      </c>
      <c r="I12" s="33">
        <v>6786</v>
      </c>
      <c r="J12" s="33">
        <v>32001</v>
      </c>
      <c r="K12" s="33">
        <v>9841</v>
      </c>
      <c r="L12" s="33">
        <v>2235</v>
      </c>
      <c r="M12" s="16"/>
    </row>
    <row r="13" spans="2:13" x14ac:dyDescent="0.2">
      <c r="B13" s="1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2:13" x14ac:dyDescent="0.2">
      <c r="B14" s="49" t="s">
        <v>13</v>
      </c>
      <c r="C14" s="19">
        <f>+SUM(C8:C12)</f>
        <v>477756</v>
      </c>
      <c r="D14" s="19">
        <f t="shared" ref="D14:L14" si="0">+SUM(D8:D12)</f>
        <v>504449</v>
      </c>
      <c r="E14" s="19">
        <f t="shared" si="0"/>
        <v>514327</v>
      </c>
      <c r="F14" s="19">
        <f t="shared" si="0"/>
        <v>506566</v>
      </c>
      <c r="G14" s="19">
        <f t="shared" si="0"/>
        <v>515662</v>
      </c>
      <c r="H14" s="19">
        <f t="shared" si="0"/>
        <v>537552</v>
      </c>
      <c r="I14" s="19">
        <f t="shared" si="0"/>
        <v>560389</v>
      </c>
      <c r="J14" s="19">
        <f t="shared" si="0"/>
        <v>605651</v>
      </c>
      <c r="K14" s="19">
        <f t="shared" si="0"/>
        <v>604615</v>
      </c>
      <c r="L14" s="19">
        <f t="shared" si="0"/>
        <v>605737</v>
      </c>
      <c r="M14" s="16"/>
    </row>
    <row r="15" spans="2:13" x14ac:dyDescent="0.2">
      <c r="B15" s="10"/>
      <c r="C15" s="45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2:13" x14ac:dyDescent="0.2">
      <c r="B16" s="12" t="s">
        <v>14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16"/>
    </row>
    <row r="17" spans="2:13" x14ac:dyDescent="0.2">
      <c r="B17" s="27" t="s">
        <v>15</v>
      </c>
      <c r="C17" s="29">
        <v>-36605</v>
      </c>
      <c r="D17" s="29">
        <v>-45290</v>
      </c>
      <c r="E17" s="29">
        <v>-40973</v>
      </c>
      <c r="F17" s="29">
        <v>-37953</v>
      </c>
      <c r="G17" s="29">
        <v>-41566</v>
      </c>
      <c r="H17" s="29">
        <v>-38844</v>
      </c>
      <c r="I17" s="29">
        <v>-40183</v>
      </c>
      <c r="J17" s="29">
        <v>-45554</v>
      </c>
      <c r="K17" s="29">
        <v>-50154</v>
      </c>
      <c r="L17" s="29">
        <v>-44745</v>
      </c>
      <c r="M17" s="16"/>
    </row>
    <row r="18" spans="2:13" x14ac:dyDescent="0.2">
      <c r="B18" s="28" t="s">
        <v>16</v>
      </c>
      <c r="C18" s="29">
        <v>-11423</v>
      </c>
      <c r="D18" s="29">
        <v>-12957</v>
      </c>
      <c r="E18" s="29">
        <v>-10170</v>
      </c>
      <c r="F18" s="29">
        <v>-9462</v>
      </c>
      <c r="G18" s="29">
        <v>-10146</v>
      </c>
      <c r="H18" s="29">
        <v>-8596</v>
      </c>
      <c r="I18" s="29">
        <v>-9103</v>
      </c>
      <c r="J18" s="29">
        <v>-9382</v>
      </c>
      <c r="K18" s="29">
        <v>-10337</v>
      </c>
      <c r="L18" s="29">
        <v>-12572</v>
      </c>
      <c r="M18" s="16"/>
    </row>
    <row r="19" spans="2:13" x14ac:dyDescent="0.2">
      <c r="B19" s="28" t="s">
        <v>17</v>
      </c>
      <c r="C19" s="29">
        <v>-113461</v>
      </c>
      <c r="D19" s="29">
        <v>-119423</v>
      </c>
      <c r="E19" s="29">
        <v>-106123</v>
      </c>
      <c r="F19" s="29">
        <v>-114551</v>
      </c>
      <c r="G19" s="29">
        <v>-115387</v>
      </c>
      <c r="H19" s="29">
        <v>-105957</v>
      </c>
      <c r="I19" s="29">
        <v>-104648</v>
      </c>
      <c r="J19" s="29">
        <v>-112357</v>
      </c>
      <c r="K19" s="29">
        <v>-111105</v>
      </c>
      <c r="L19" s="29">
        <v>-126761</v>
      </c>
      <c r="M19" s="16"/>
    </row>
    <row r="20" spans="2:13" x14ac:dyDescent="0.2">
      <c r="B20" s="28" t="s">
        <v>18</v>
      </c>
      <c r="C20" s="29">
        <v>-22098</v>
      </c>
      <c r="D20" s="29">
        <v>-21856</v>
      </c>
      <c r="E20" s="29">
        <v>-20269</v>
      </c>
      <c r="F20" s="29">
        <v>-21896</v>
      </c>
      <c r="G20" s="29">
        <v>-24951</v>
      </c>
      <c r="H20" s="29">
        <v>-25360</v>
      </c>
      <c r="I20" s="29">
        <v>-26697</v>
      </c>
      <c r="J20" s="29">
        <v>-25948</v>
      </c>
      <c r="K20" s="29">
        <v>-26088</v>
      </c>
      <c r="L20" s="29">
        <v>-27651</v>
      </c>
      <c r="M20" s="16"/>
    </row>
    <row r="21" spans="2:13" x14ac:dyDescent="0.2">
      <c r="B21" s="28" t="s">
        <v>19</v>
      </c>
      <c r="C21" s="29">
        <v>-11147</v>
      </c>
      <c r="D21" s="29">
        <v>-11611</v>
      </c>
      <c r="E21" s="29">
        <v>-10567</v>
      </c>
      <c r="F21" s="29">
        <v>-15033</v>
      </c>
      <c r="G21" s="29">
        <v>-15734</v>
      </c>
      <c r="H21" s="29">
        <v>-16811</v>
      </c>
      <c r="I21" s="29">
        <v>-16414</v>
      </c>
      <c r="J21" s="29">
        <v>-21231</v>
      </c>
      <c r="K21" s="29">
        <v>-19365</v>
      </c>
      <c r="L21" s="29">
        <v>-19158</v>
      </c>
      <c r="M21" s="16"/>
    </row>
    <row r="22" spans="2:13" x14ac:dyDescent="0.2">
      <c r="B22" s="28" t="s">
        <v>20</v>
      </c>
      <c r="C22" s="29">
        <v>-13916</v>
      </c>
      <c r="D22" s="29">
        <v>-14041</v>
      </c>
      <c r="E22" s="29">
        <v>-14732</v>
      </c>
      <c r="F22" s="29">
        <v>-14988</v>
      </c>
      <c r="G22" s="29">
        <v>-26328</v>
      </c>
      <c r="H22" s="29">
        <v>-37564</v>
      </c>
      <c r="I22" s="29">
        <v>-37740</v>
      </c>
      <c r="J22" s="29">
        <v>-38076</v>
      </c>
      <c r="K22" s="29">
        <v>-38394</v>
      </c>
      <c r="L22" s="29">
        <v>-31178</v>
      </c>
      <c r="M22" s="16"/>
    </row>
    <row r="23" spans="2:13" x14ac:dyDescent="0.2">
      <c r="B23" s="28" t="s">
        <v>21</v>
      </c>
      <c r="C23" s="29">
        <v>-10639</v>
      </c>
      <c r="D23" s="29">
        <v>-10633</v>
      </c>
      <c r="E23" s="29">
        <v>-9974</v>
      </c>
      <c r="F23" s="29">
        <v>-10229</v>
      </c>
      <c r="G23" s="29">
        <v>-10653</v>
      </c>
      <c r="H23" s="29">
        <v>-11182</v>
      </c>
      <c r="I23" s="29">
        <v>-11561</v>
      </c>
      <c r="J23" s="29">
        <v>-11986</v>
      </c>
      <c r="K23" s="29">
        <v>-12308</v>
      </c>
      <c r="L23" s="29">
        <v>-11511</v>
      </c>
      <c r="M23" s="16"/>
    </row>
    <row r="24" spans="2:13" x14ac:dyDescent="0.2">
      <c r="B24" s="28" t="s">
        <v>22</v>
      </c>
      <c r="C24" s="29">
        <v>-22361</v>
      </c>
      <c r="D24" s="29">
        <v>-24173</v>
      </c>
      <c r="E24" s="29">
        <v>-39966</v>
      </c>
      <c r="F24" s="29">
        <v>-47808</v>
      </c>
      <c r="G24" s="29">
        <v>-23057</v>
      </c>
      <c r="H24" s="29">
        <v>-28461</v>
      </c>
      <c r="I24" s="29">
        <v>-31293</v>
      </c>
      <c r="J24" s="29">
        <v>-46222</v>
      </c>
      <c r="K24" s="29">
        <v>-72306</v>
      </c>
      <c r="L24" s="29">
        <v>-27831</v>
      </c>
      <c r="M24" s="16"/>
    </row>
    <row r="25" spans="2:13" x14ac:dyDescent="0.2">
      <c r="B25" s="28" t="s">
        <v>23</v>
      </c>
      <c r="C25" s="29">
        <v>-18551</v>
      </c>
      <c r="D25" s="29">
        <v>-15283</v>
      </c>
      <c r="E25" s="29">
        <v>-10809</v>
      </c>
      <c r="F25" s="29">
        <v>-11143</v>
      </c>
      <c r="G25" s="29">
        <v>-7528</v>
      </c>
      <c r="H25" s="29">
        <v>-5805</v>
      </c>
      <c r="I25" s="29">
        <v>-20990</v>
      </c>
      <c r="J25" s="29">
        <v>-28667</v>
      </c>
      <c r="K25" s="29">
        <v>-27164</v>
      </c>
      <c r="L25" s="29">
        <v>-14626</v>
      </c>
      <c r="M25" s="16"/>
    </row>
    <row r="26" spans="2:13" x14ac:dyDescent="0.2">
      <c r="B26" s="28" t="s">
        <v>24</v>
      </c>
      <c r="C26" s="29">
        <v>-11349</v>
      </c>
      <c r="D26" s="29">
        <v>-47070</v>
      </c>
      <c r="E26" s="29">
        <v>-32297</v>
      </c>
      <c r="F26" s="29">
        <v>-98800</v>
      </c>
      <c r="G26" s="29">
        <v>-10492</v>
      </c>
      <c r="H26" s="29">
        <v>-94177</v>
      </c>
      <c r="I26" s="29">
        <v>-69555</v>
      </c>
      <c r="J26" s="29">
        <v>-7373</v>
      </c>
      <c r="K26" s="29">
        <v>0</v>
      </c>
      <c r="L26" s="29">
        <v>-19582</v>
      </c>
      <c r="M26" s="16"/>
    </row>
    <row r="27" spans="2:13" x14ac:dyDescent="0.2">
      <c r="B27" s="28" t="s">
        <v>25</v>
      </c>
      <c r="C27" s="29">
        <v>-13992</v>
      </c>
      <c r="D27" s="29">
        <v>-14114</v>
      </c>
      <c r="E27" s="29">
        <v>-15384</v>
      </c>
      <c r="F27" s="29">
        <v>-15015</v>
      </c>
      <c r="G27" s="29">
        <v>-13309</v>
      </c>
      <c r="H27" s="29">
        <v>-13380</v>
      </c>
      <c r="I27" s="29">
        <v>-13673</v>
      </c>
      <c r="J27" s="29">
        <v>-13948</v>
      </c>
      <c r="K27" s="29">
        <v>-14465</v>
      </c>
      <c r="L27" s="29">
        <v>-14707</v>
      </c>
      <c r="M27" s="16"/>
    </row>
    <row r="28" spans="2:13" x14ac:dyDescent="0.2">
      <c r="B28" s="49" t="s">
        <v>26</v>
      </c>
      <c r="C28" s="19">
        <f>+SUM(C17:C27)</f>
        <v>-285542</v>
      </c>
      <c r="D28" s="19">
        <f t="shared" ref="D28:K28" si="1">+SUM(D17:D27)</f>
        <v>-336451</v>
      </c>
      <c r="E28" s="19">
        <f t="shared" si="1"/>
        <v>-311264</v>
      </c>
      <c r="F28" s="19">
        <f t="shared" si="1"/>
        <v>-396878</v>
      </c>
      <c r="G28" s="19">
        <f t="shared" si="1"/>
        <v>-299151</v>
      </c>
      <c r="H28" s="19">
        <f t="shared" si="1"/>
        <v>-386137</v>
      </c>
      <c r="I28" s="19">
        <f t="shared" si="1"/>
        <v>-381857</v>
      </c>
      <c r="J28" s="19">
        <f t="shared" si="1"/>
        <v>-360744</v>
      </c>
      <c r="K28" s="19">
        <f t="shared" si="1"/>
        <v>-381686</v>
      </c>
      <c r="L28" s="19">
        <f>+SUM(L17:L27)-1</f>
        <v>-350323</v>
      </c>
      <c r="M28" s="16"/>
    </row>
    <row r="29" spans="2:13" x14ac:dyDescent="0.2">
      <c r="B29" s="1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</row>
    <row r="30" spans="2:13" x14ac:dyDescent="0.2">
      <c r="B30" s="49" t="s">
        <v>27</v>
      </c>
      <c r="C30" s="19">
        <f>+C14+C28</f>
        <v>192214</v>
      </c>
      <c r="D30" s="19">
        <f t="shared" ref="D30:K30" si="2">+D14+D28</f>
        <v>167998</v>
      </c>
      <c r="E30" s="19">
        <f t="shared" si="2"/>
        <v>203063</v>
      </c>
      <c r="F30" s="19">
        <f t="shared" si="2"/>
        <v>109688</v>
      </c>
      <c r="G30" s="19">
        <f t="shared" si="2"/>
        <v>216511</v>
      </c>
      <c r="H30" s="19">
        <f t="shared" si="2"/>
        <v>151415</v>
      </c>
      <c r="I30" s="19">
        <f t="shared" si="2"/>
        <v>178532</v>
      </c>
      <c r="J30" s="19">
        <f t="shared" si="2"/>
        <v>244907</v>
      </c>
      <c r="K30" s="19">
        <f t="shared" si="2"/>
        <v>222929</v>
      </c>
      <c r="L30" s="19">
        <f>+L14+L28</f>
        <v>255414</v>
      </c>
      <c r="M30" s="16"/>
    </row>
    <row r="31" spans="2:13" x14ac:dyDescent="0.2">
      <c r="B31" s="10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</row>
    <row r="32" spans="2:13" x14ac:dyDescent="0.2">
      <c r="B32" s="13" t="s">
        <v>28</v>
      </c>
      <c r="C32" s="33">
        <v>-67426</v>
      </c>
      <c r="D32" s="33">
        <v>-86854</v>
      </c>
      <c r="E32" s="33">
        <v>-94104</v>
      </c>
      <c r="F32" s="33">
        <v>-90308</v>
      </c>
      <c r="G32" s="33">
        <v>-82716</v>
      </c>
      <c r="H32" s="33">
        <v>-114060</v>
      </c>
      <c r="I32" s="33">
        <v>-143058</v>
      </c>
      <c r="J32" s="33">
        <v>-250968</v>
      </c>
      <c r="K32" s="33">
        <v>-260376</v>
      </c>
      <c r="L32" s="33">
        <v>-221612</v>
      </c>
      <c r="M32" s="16"/>
    </row>
    <row r="33" spans="2:13" x14ac:dyDescent="0.2">
      <c r="B33" s="10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2:13" x14ac:dyDescent="0.2">
      <c r="B34" s="49" t="s">
        <v>29</v>
      </c>
      <c r="C34" s="19">
        <f>+C32+C30</f>
        <v>124788</v>
      </c>
      <c r="D34" s="19">
        <f t="shared" ref="D34:L34" si="3">+D32+D30</f>
        <v>81144</v>
      </c>
      <c r="E34" s="19">
        <f t="shared" si="3"/>
        <v>108959</v>
      </c>
      <c r="F34" s="19">
        <f t="shared" si="3"/>
        <v>19380</v>
      </c>
      <c r="G34" s="19">
        <f t="shared" si="3"/>
        <v>133795</v>
      </c>
      <c r="H34" s="19">
        <f t="shared" si="3"/>
        <v>37355</v>
      </c>
      <c r="I34" s="19">
        <f t="shared" si="3"/>
        <v>35474</v>
      </c>
      <c r="J34" s="19">
        <f t="shared" si="3"/>
        <v>-6061</v>
      </c>
      <c r="K34" s="19">
        <f t="shared" si="3"/>
        <v>-37447</v>
      </c>
      <c r="L34" s="19">
        <f t="shared" si="3"/>
        <v>33802</v>
      </c>
      <c r="M34" s="16"/>
    </row>
    <row r="35" spans="2:13" x14ac:dyDescent="0.2">
      <c r="B35" s="1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2:13" ht="15" x14ac:dyDescent="0.25">
      <c r="B36" s="50" t="s">
        <v>30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2:13" x14ac:dyDescent="0.2">
      <c r="B37" s="10" t="s">
        <v>31</v>
      </c>
      <c r="C37" s="33">
        <v>504</v>
      </c>
      <c r="D37" s="33">
        <v>238</v>
      </c>
      <c r="E37" s="33">
        <v>1142</v>
      </c>
      <c r="F37" s="33">
        <v>1107</v>
      </c>
      <c r="G37" s="33">
        <v>2332</v>
      </c>
      <c r="H37" s="33">
        <v>1219</v>
      </c>
      <c r="I37" s="33">
        <v>40</v>
      </c>
      <c r="J37" s="33">
        <v>23</v>
      </c>
      <c r="K37" s="33">
        <v>1</v>
      </c>
      <c r="L37" s="33">
        <v>0</v>
      </c>
      <c r="M37" s="16"/>
    </row>
    <row r="38" spans="2:13" x14ac:dyDescent="0.2">
      <c r="B38" s="10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16"/>
    </row>
    <row r="39" spans="2:13" x14ac:dyDescent="0.2">
      <c r="B39" s="10" t="s">
        <v>32</v>
      </c>
      <c r="C39" s="33">
        <v>-62788</v>
      </c>
      <c r="D39" s="33">
        <v>-60404</v>
      </c>
      <c r="E39" s="33">
        <v>-73906</v>
      </c>
      <c r="F39" s="33">
        <v>-63620</v>
      </c>
      <c r="G39" s="33">
        <v>-58082</v>
      </c>
      <c r="H39" s="33">
        <v>-70325</v>
      </c>
      <c r="I39" s="33">
        <v>-66808</v>
      </c>
      <c r="J39" s="33">
        <v>-74620</v>
      </c>
      <c r="K39" s="33">
        <v>-74945</v>
      </c>
      <c r="L39" s="33">
        <v>-91992</v>
      </c>
      <c r="M39" s="16"/>
    </row>
    <row r="40" spans="2:13" x14ac:dyDescent="0.2">
      <c r="B40" s="10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2:13" x14ac:dyDescent="0.2">
      <c r="B41" s="49" t="s">
        <v>33</v>
      </c>
      <c r="C41" s="19">
        <f>+SUM(C34:C39)</f>
        <v>62504</v>
      </c>
      <c r="D41" s="19">
        <f t="shared" ref="D41:L41" si="4">+SUM(D34:D39)</f>
        <v>20978</v>
      </c>
      <c r="E41" s="19">
        <f t="shared" si="4"/>
        <v>36195</v>
      </c>
      <c r="F41" s="19">
        <f t="shared" si="4"/>
        <v>-43133</v>
      </c>
      <c r="G41" s="19">
        <f t="shared" si="4"/>
        <v>78045</v>
      </c>
      <c r="H41" s="19">
        <f t="shared" si="4"/>
        <v>-31751</v>
      </c>
      <c r="I41" s="19">
        <f t="shared" si="4"/>
        <v>-31294</v>
      </c>
      <c r="J41" s="19">
        <f t="shared" si="4"/>
        <v>-80658</v>
      </c>
      <c r="K41" s="19">
        <f t="shared" si="4"/>
        <v>-112391</v>
      </c>
      <c r="L41" s="19">
        <f t="shared" si="4"/>
        <v>-58190</v>
      </c>
      <c r="M41" s="16"/>
    </row>
    <row r="42" spans="2:13" x14ac:dyDescent="0.2">
      <c r="B42" s="10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2:13" ht="15" thickBot="1" x14ac:dyDescent="0.25">
      <c r="B43" s="51" t="s">
        <v>0</v>
      </c>
      <c r="C43" s="26">
        <f>+C41</f>
        <v>62504</v>
      </c>
      <c r="D43" s="26">
        <f t="shared" ref="D43:L43" si="5">+D41</f>
        <v>20978</v>
      </c>
      <c r="E43" s="26">
        <f t="shared" si="5"/>
        <v>36195</v>
      </c>
      <c r="F43" s="26">
        <f t="shared" si="5"/>
        <v>-43133</v>
      </c>
      <c r="G43" s="26">
        <f t="shared" si="5"/>
        <v>78045</v>
      </c>
      <c r="H43" s="26">
        <f t="shared" si="5"/>
        <v>-31751</v>
      </c>
      <c r="I43" s="26">
        <f t="shared" si="5"/>
        <v>-31294</v>
      </c>
      <c r="J43" s="26">
        <f t="shared" si="5"/>
        <v>-80658</v>
      </c>
      <c r="K43" s="26">
        <f t="shared" si="5"/>
        <v>-112391</v>
      </c>
      <c r="L43" s="26">
        <f t="shared" si="5"/>
        <v>-58190</v>
      </c>
      <c r="M43" s="16"/>
    </row>
    <row r="44" spans="2:13" x14ac:dyDescent="0.2">
      <c r="B44" s="9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  <row r="45" spans="2:13" x14ac:dyDescent="0.2"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</row>
    <row r="46" spans="2:13" s="9" customFormat="1" x14ac:dyDescent="0.2"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</row>
    <row r="47" spans="2:13" s="9" customFormat="1" x14ac:dyDescent="0.2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</row>
    <row r="48" spans="2:13" s="9" customFormat="1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</row>
    <row r="49" spans="3:13" s="9" customFormat="1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3:13" s="9" customFormat="1" x14ac:dyDescent="0.2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3:13" s="9" customFormat="1" x14ac:dyDescent="0.2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3:13" hidden="1" x14ac:dyDescent="0.2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</row>
    <row r="53" spans="3:13" hidden="1" x14ac:dyDescent="0.2"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</row>
    <row r="54" spans="3:13" hidden="1" x14ac:dyDescent="0.2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</row>
    <row r="55" spans="3:13" hidden="1" x14ac:dyDescent="0.2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</row>
    <row r="56" spans="3:13" hidden="1" x14ac:dyDescent="0.2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</row>
    <row r="57" spans="3:13" hidden="1" x14ac:dyDescent="0.2"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</row>
    <row r="58" spans="3:13" hidden="1" x14ac:dyDescent="0.2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</row>
    <row r="59" spans="3:13" hidden="1" x14ac:dyDescent="0.2"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</row>
    <row r="60" spans="3:13" hidden="1" x14ac:dyDescent="0.2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</row>
    <row r="61" spans="3:13" hidden="1" x14ac:dyDescent="0.2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</row>
    <row r="62" spans="3:13" hidden="1" x14ac:dyDescent="0.2"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</row>
    <row r="63" spans="3:13" hidden="1" x14ac:dyDescent="0.2"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51"/>
  <sheetViews>
    <sheetView zoomScale="80" zoomScaleNormal="80" workbookViewId="0">
      <pane xSplit="2" ySplit="5" topLeftCell="F22" activePane="bottomRight" state="frozen"/>
      <selection pane="topRight" activeCell="C1" sqref="C1"/>
      <selection pane="bottomLeft" activeCell="A6" sqref="A6"/>
      <selection pane="bottomRight" activeCell="B43" sqref="B43"/>
    </sheetView>
  </sheetViews>
  <sheetFormatPr defaultColWidth="0" defaultRowHeight="15" zeroHeight="1" x14ac:dyDescent="0.25"/>
  <cols>
    <col min="1" max="1" width="9.140625" customWidth="1"/>
    <col min="2" max="2" width="35.42578125" bestFit="1" customWidth="1"/>
    <col min="3" max="13" width="14.7109375" customWidth="1"/>
    <col min="14" max="16384" width="9.140625" hidden="1"/>
  </cols>
  <sheetData>
    <row r="1" spans="1:13" ht="18" x14ac:dyDescent="0.25">
      <c r="A1" s="9"/>
      <c r="B1" s="8" t="s">
        <v>70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3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3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1:13" ht="43.5" customHeight="1" thickBot="1" x14ac:dyDescent="0.3">
      <c r="A5" s="9"/>
      <c r="B5" s="10" t="s">
        <v>89</v>
      </c>
      <c r="C5" s="17" t="s">
        <v>35</v>
      </c>
      <c r="D5" s="17" t="s">
        <v>36</v>
      </c>
      <c r="E5" s="17" t="s">
        <v>37</v>
      </c>
      <c r="F5" s="17" t="s">
        <v>38</v>
      </c>
      <c r="G5" s="17" t="s">
        <v>39</v>
      </c>
      <c r="H5" s="17" t="s">
        <v>40</v>
      </c>
      <c r="I5" s="17" t="s">
        <v>41</v>
      </c>
      <c r="J5" s="17" t="s">
        <v>42</v>
      </c>
      <c r="K5" s="17" t="s">
        <v>43</v>
      </c>
      <c r="L5" s="17" t="s">
        <v>120</v>
      </c>
      <c r="M5" s="9"/>
    </row>
    <row r="6" spans="1:13" x14ac:dyDescent="0.25">
      <c r="A6" s="9"/>
      <c r="B6" s="11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 ht="15.75" x14ac:dyDescent="0.25">
      <c r="A7" s="9"/>
      <c r="B7" s="23" t="s">
        <v>44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16"/>
    </row>
    <row r="8" spans="1:13" x14ac:dyDescent="0.25">
      <c r="A8" s="9"/>
      <c r="B8" s="50" t="s">
        <v>45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1:13" x14ac:dyDescent="0.25">
      <c r="A9" s="9"/>
      <c r="B9" s="52" t="s">
        <v>46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</row>
    <row r="10" spans="1:13" x14ac:dyDescent="0.25">
      <c r="A10" s="9"/>
      <c r="B10" s="13" t="s">
        <v>47</v>
      </c>
      <c r="C10" s="33">
        <f>+C11+C12</f>
        <v>1063000</v>
      </c>
      <c r="D10" s="33">
        <f t="shared" ref="D10:L10" si="0">+D11+D12</f>
        <v>1063000</v>
      </c>
      <c r="E10" s="33">
        <f t="shared" si="0"/>
        <v>1063000</v>
      </c>
      <c r="F10" s="33">
        <f t="shared" si="0"/>
        <v>1063000</v>
      </c>
      <c r="G10" s="33">
        <f t="shared" si="0"/>
        <v>1063000</v>
      </c>
      <c r="H10" s="33">
        <f t="shared" si="0"/>
        <v>1063000</v>
      </c>
      <c r="I10" s="33">
        <f t="shared" si="0"/>
        <v>1063000</v>
      </c>
      <c r="J10" s="33">
        <f t="shared" si="0"/>
        <v>1063000</v>
      </c>
      <c r="K10" s="33">
        <f t="shared" si="0"/>
        <v>1063000</v>
      </c>
      <c r="L10" s="33">
        <f t="shared" si="0"/>
        <v>1063000</v>
      </c>
      <c r="M10" s="16"/>
    </row>
    <row r="11" spans="1:13" x14ac:dyDescent="0.25">
      <c r="A11" s="9"/>
      <c r="B11" s="30" t="s">
        <v>48</v>
      </c>
      <c r="C11" s="29">
        <v>1063000</v>
      </c>
      <c r="D11" s="29">
        <f>+C10</f>
        <v>1063000</v>
      </c>
      <c r="E11" s="29">
        <f t="shared" ref="E11:L11" si="1">+D10</f>
        <v>1063000</v>
      </c>
      <c r="F11" s="29">
        <f t="shared" si="1"/>
        <v>1063000</v>
      </c>
      <c r="G11" s="29">
        <f t="shared" si="1"/>
        <v>1063000</v>
      </c>
      <c r="H11" s="29">
        <f t="shared" si="1"/>
        <v>1063000</v>
      </c>
      <c r="I11" s="29">
        <f t="shared" si="1"/>
        <v>1063000</v>
      </c>
      <c r="J11" s="29">
        <f t="shared" si="1"/>
        <v>1063000</v>
      </c>
      <c r="K11" s="29">
        <f t="shared" si="1"/>
        <v>1063000</v>
      </c>
      <c r="L11" s="29">
        <f t="shared" si="1"/>
        <v>1063000</v>
      </c>
      <c r="M11" s="16"/>
    </row>
    <row r="12" spans="1:13" x14ac:dyDescent="0.25">
      <c r="A12" s="9"/>
      <c r="B12" s="31" t="s">
        <v>49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16"/>
    </row>
    <row r="13" spans="1:13" x14ac:dyDescent="0.25">
      <c r="A13" s="9"/>
      <c r="B13" s="1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x14ac:dyDescent="0.25">
      <c r="A14" s="9"/>
      <c r="B14" s="13" t="s">
        <v>50</v>
      </c>
      <c r="C14" s="33">
        <f>+SUM(C15:C17)</f>
        <v>1258205</v>
      </c>
      <c r="D14" s="33">
        <f t="shared" ref="D14:L14" si="2">+SUM(D15:D17)</f>
        <v>1207601</v>
      </c>
      <c r="E14" s="33">
        <f t="shared" si="2"/>
        <v>1113497</v>
      </c>
      <c r="F14" s="33">
        <f t="shared" si="2"/>
        <v>1023189</v>
      </c>
      <c r="G14" s="33">
        <f t="shared" si="2"/>
        <v>2060018</v>
      </c>
      <c r="H14" s="33">
        <f t="shared" si="2"/>
        <v>2119116</v>
      </c>
      <c r="I14" s="33">
        <f t="shared" si="2"/>
        <v>4327396</v>
      </c>
      <c r="J14" s="33">
        <f t="shared" si="2"/>
        <v>4076428</v>
      </c>
      <c r="K14" s="33">
        <f t="shared" si="2"/>
        <v>4770990</v>
      </c>
      <c r="L14" s="33">
        <f t="shared" si="2"/>
        <v>6366598</v>
      </c>
      <c r="M14" s="16"/>
    </row>
    <row r="15" spans="1:13" x14ac:dyDescent="0.25">
      <c r="A15" s="9"/>
      <c r="B15" s="30" t="s">
        <v>48</v>
      </c>
      <c r="C15" s="29">
        <v>601476</v>
      </c>
      <c r="D15" s="29">
        <f>+C14</f>
        <v>1258205</v>
      </c>
      <c r="E15" s="29">
        <f>+D14</f>
        <v>1207601</v>
      </c>
      <c r="F15" s="29">
        <f t="shared" ref="F15:L15" si="3">+E14</f>
        <v>1113497</v>
      </c>
      <c r="G15" s="29">
        <f t="shared" si="3"/>
        <v>1023189</v>
      </c>
      <c r="H15" s="29">
        <f t="shared" si="3"/>
        <v>2060018</v>
      </c>
      <c r="I15" s="29">
        <f t="shared" si="3"/>
        <v>2119116</v>
      </c>
      <c r="J15" s="29">
        <f t="shared" si="3"/>
        <v>4327396</v>
      </c>
      <c r="K15" s="29">
        <f t="shared" si="3"/>
        <v>4076428</v>
      </c>
      <c r="L15" s="29">
        <f t="shared" si="3"/>
        <v>4770990</v>
      </c>
      <c r="M15" s="16"/>
    </row>
    <row r="16" spans="1:13" x14ac:dyDescent="0.25">
      <c r="A16" s="9"/>
      <c r="B16" s="30" t="s">
        <v>51</v>
      </c>
      <c r="C16" s="29">
        <v>724155</v>
      </c>
      <c r="D16" s="29">
        <v>36250</v>
      </c>
      <c r="E16" s="29">
        <v>0</v>
      </c>
      <c r="F16" s="29">
        <v>0</v>
      </c>
      <c r="G16" s="29">
        <v>1119545</v>
      </c>
      <c r="H16" s="29">
        <f>125225+47933</f>
        <v>173158</v>
      </c>
      <c r="I16" s="29">
        <v>2351338</v>
      </c>
      <c r="J16" s="29">
        <v>0</v>
      </c>
      <c r="K16" s="29">
        <f>921381+33557</f>
        <v>954938</v>
      </c>
      <c r="L16" s="29">
        <f>1850777-33557</f>
        <v>1817220</v>
      </c>
      <c r="M16" s="16"/>
    </row>
    <row r="17" spans="1:13" x14ac:dyDescent="0.25">
      <c r="A17" s="9"/>
      <c r="B17" s="31" t="s">
        <v>49</v>
      </c>
      <c r="C17" s="29">
        <f>+'2.1 Resultaträkning'!C32</f>
        <v>-67426</v>
      </c>
      <c r="D17" s="29">
        <f>+'2.1 Resultaträkning'!D32</f>
        <v>-86854</v>
      </c>
      <c r="E17" s="29">
        <f>+'2.1 Resultaträkning'!E32</f>
        <v>-94104</v>
      </c>
      <c r="F17" s="29">
        <f>+'2.1 Resultaträkning'!F32</f>
        <v>-90308</v>
      </c>
      <c r="G17" s="29">
        <f>+'2.1 Resultaträkning'!G32</f>
        <v>-82716</v>
      </c>
      <c r="H17" s="29">
        <f>+'2.1 Resultaträkning'!H32</f>
        <v>-114060</v>
      </c>
      <c r="I17" s="29">
        <f>+'2.1 Resultaträkning'!I32</f>
        <v>-143058</v>
      </c>
      <c r="J17" s="29">
        <f>+'2.1 Resultaträkning'!J32</f>
        <v>-250968</v>
      </c>
      <c r="K17" s="29">
        <f>+'2.1 Resultaträkning'!K32</f>
        <v>-260376</v>
      </c>
      <c r="L17" s="29">
        <f>+'2.1 Resultaträkning'!L32</f>
        <v>-221612</v>
      </c>
      <c r="M17" s="16"/>
    </row>
    <row r="18" spans="1:13" x14ac:dyDescent="0.25">
      <c r="A18" s="9"/>
      <c r="B18" s="10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x14ac:dyDescent="0.25">
      <c r="A19" s="9"/>
      <c r="B19" s="49" t="s">
        <v>52</v>
      </c>
      <c r="C19" s="19">
        <f>+C14+C10</f>
        <v>2321205</v>
      </c>
      <c r="D19" s="19">
        <f t="shared" ref="D19:L19" si="4">+D14+D10</f>
        <v>2270601</v>
      </c>
      <c r="E19" s="19">
        <f t="shared" si="4"/>
        <v>2176497</v>
      </c>
      <c r="F19" s="19">
        <f t="shared" si="4"/>
        <v>2086189</v>
      </c>
      <c r="G19" s="19">
        <f t="shared" si="4"/>
        <v>3123018</v>
      </c>
      <c r="H19" s="19">
        <f t="shared" si="4"/>
        <v>3182116</v>
      </c>
      <c r="I19" s="19">
        <f t="shared" si="4"/>
        <v>5390396</v>
      </c>
      <c r="J19" s="19">
        <f t="shared" si="4"/>
        <v>5139428</v>
      </c>
      <c r="K19" s="19">
        <f t="shared" si="4"/>
        <v>5833990</v>
      </c>
      <c r="L19" s="19">
        <f t="shared" si="4"/>
        <v>7429598</v>
      </c>
      <c r="M19" s="16"/>
    </row>
    <row r="20" spans="1:13" x14ac:dyDescent="0.25">
      <c r="A20" s="9"/>
      <c r="B20" s="1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</row>
    <row r="21" spans="1:13" x14ac:dyDescent="0.25">
      <c r="A21" s="9"/>
      <c r="B21" s="50" t="s">
        <v>53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  <row r="22" spans="1:13" x14ac:dyDescent="0.25">
      <c r="A22" s="9"/>
      <c r="B22" s="13" t="s">
        <v>54</v>
      </c>
      <c r="C22" s="33">
        <f>10812+341575+1682</f>
        <v>354069</v>
      </c>
      <c r="D22" s="33">
        <f>20593+322603+1745</f>
        <v>344941</v>
      </c>
      <c r="E22" s="33">
        <f>11702+303631+1364</f>
        <v>316697</v>
      </c>
      <c r="F22" s="33">
        <f>42771+1228</f>
        <v>43999</v>
      </c>
      <c r="G22" s="33">
        <f>32780+2264</f>
        <v>35044</v>
      </c>
      <c r="H22" s="33">
        <f>17218+3191</f>
        <v>20409</v>
      </c>
      <c r="I22" s="33">
        <f>22308+1182</f>
        <v>23490</v>
      </c>
      <c r="J22" s="33">
        <f>23602+1196</f>
        <v>24798</v>
      </c>
      <c r="K22" s="33">
        <f>21913+1330</f>
        <v>23243</v>
      </c>
      <c r="L22" s="33">
        <f>24098+1263</f>
        <v>25361</v>
      </c>
      <c r="M22" s="16"/>
    </row>
    <row r="23" spans="1:13" x14ac:dyDescent="0.25">
      <c r="A23" s="9"/>
      <c r="B23" s="10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16"/>
    </row>
    <row r="24" spans="1:13" x14ac:dyDescent="0.25">
      <c r="A24" s="9"/>
      <c r="B24" s="10" t="s">
        <v>55</v>
      </c>
      <c r="C24" s="33">
        <f>+'2.3 Kassaflödesanalys'!C30</f>
        <v>146553</v>
      </c>
      <c r="D24" s="33">
        <f>+'2.3 Kassaflödesanalys'!D30</f>
        <v>96801</v>
      </c>
      <c r="E24" s="33">
        <f>+'2.3 Kassaflödesanalys'!E30</f>
        <v>90859</v>
      </c>
      <c r="F24" s="33">
        <f>+'2.3 Kassaflödesanalys'!F30</f>
        <v>64060</v>
      </c>
      <c r="G24" s="33">
        <f>+'2.3 Kassaflödesanalys'!G30</f>
        <v>335145</v>
      </c>
      <c r="H24" s="33">
        <f>+'2.3 Kassaflödesanalys'!H30</f>
        <v>153680</v>
      </c>
      <c r="I24" s="33">
        <f>+'2.3 Kassaflödesanalys'!I30</f>
        <v>49895</v>
      </c>
      <c r="J24" s="33">
        <f>+'2.3 Kassaflödesanalys'!J30</f>
        <v>146696</v>
      </c>
      <c r="K24" s="33">
        <f>+'2.3 Kassaflödesanalys'!K30-1</f>
        <v>9648</v>
      </c>
      <c r="L24" s="33">
        <f>+'2.3 Kassaflödesanalys'!L30-1</f>
        <v>142261</v>
      </c>
      <c r="M24" s="16"/>
    </row>
    <row r="25" spans="1:13" x14ac:dyDescent="0.25">
      <c r="A25" s="9"/>
      <c r="B25" s="10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</row>
    <row r="26" spans="1:13" x14ac:dyDescent="0.25">
      <c r="A26" s="9"/>
      <c r="B26" s="49" t="s">
        <v>56</v>
      </c>
      <c r="C26" s="19">
        <f>+C24+C22</f>
        <v>500622</v>
      </c>
      <c r="D26" s="19">
        <f t="shared" ref="D26:L26" si="5">+D24+D22</f>
        <v>441742</v>
      </c>
      <c r="E26" s="19">
        <f t="shared" si="5"/>
        <v>407556</v>
      </c>
      <c r="F26" s="19">
        <f t="shared" si="5"/>
        <v>108059</v>
      </c>
      <c r="G26" s="19">
        <f t="shared" si="5"/>
        <v>370189</v>
      </c>
      <c r="H26" s="19">
        <f t="shared" si="5"/>
        <v>174089</v>
      </c>
      <c r="I26" s="19">
        <f t="shared" si="5"/>
        <v>73385</v>
      </c>
      <c r="J26" s="19">
        <f t="shared" si="5"/>
        <v>171494</v>
      </c>
      <c r="K26" s="19">
        <f t="shared" si="5"/>
        <v>32891</v>
      </c>
      <c r="L26" s="19">
        <f t="shared" si="5"/>
        <v>167622</v>
      </c>
      <c r="M26" s="16"/>
    </row>
    <row r="27" spans="1:13" x14ac:dyDescent="0.25">
      <c r="A27" s="9"/>
      <c r="B27" s="10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3" x14ac:dyDescent="0.25">
      <c r="A28" s="9"/>
      <c r="B28" s="49" t="s">
        <v>57</v>
      </c>
      <c r="C28" s="19">
        <f>+C26+C19</f>
        <v>2821827</v>
      </c>
      <c r="D28" s="19">
        <f t="shared" ref="D28:L28" si="6">+D26+D19</f>
        <v>2712343</v>
      </c>
      <c r="E28" s="19">
        <f t="shared" si="6"/>
        <v>2584053</v>
      </c>
      <c r="F28" s="19">
        <f t="shared" si="6"/>
        <v>2194248</v>
      </c>
      <c r="G28" s="19">
        <f t="shared" si="6"/>
        <v>3493207</v>
      </c>
      <c r="H28" s="19">
        <f t="shared" si="6"/>
        <v>3356205</v>
      </c>
      <c r="I28" s="19">
        <f t="shared" si="6"/>
        <v>5463781</v>
      </c>
      <c r="J28" s="19">
        <f t="shared" si="6"/>
        <v>5310922</v>
      </c>
      <c r="K28" s="19">
        <f t="shared" si="6"/>
        <v>5866881</v>
      </c>
      <c r="L28" s="19">
        <f t="shared" si="6"/>
        <v>7597220</v>
      </c>
      <c r="M28" s="16"/>
    </row>
    <row r="29" spans="1:13" x14ac:dyDescent="0.25">
      <c r="A29" s="9"/>
      <c r="B29" s="1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</row>
    <row r="30" spans="1:13" ht="15.75" x14ac:dyDescent="0.25">
      <c r="A30" s="9"/>
      <c r="B30" s="23" t="s">
        <v>58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</row>
    <row r="31" spans="1:13" x14ac:dyDescent="0.25">
      <c r="A31" s="9"/>
      <c r="B31" s="50" t="s">
        <v>59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</row>
    <row r="32" spans="1:13" x14ac:dyDescent="0.25">
      <c r="A32" s="9"/>
      <c r="B32" s="13" t="s">
        <v>60</v>
      </c>
      <c r="C32" s="33">
        <v>154500</v>
      </c>
      <c r="D32" s="33">
        <v>154500</v>
      </c>
      <c r="E32" s="33">
        <v>154500</v>
      </c>
      <c r="F32" s="33">
        <v>154500</v>
      </c>
      <c r="G32" s="33">
        <v>154500</v>
      </c>
      <c r="H32" s="33">
        <v>154500</v>
      </c>
      <c r="I32" s="33">
        <v>154500</v>
      </c>
      <c r="J32" s="33">
        <v>154500</v>
      </c>
      <c r="K32" s="33">
        <v>154500</v>
      </c>
      <c r="L32" s="33">
        <v>154500</v>
      </c>
      <c r="M32" s="16"/>
    </row>
    <row r="33" spans="1:13" x14ac:dyDescent="0.25">
      <c r="A33" s="9"/>
      <c r="B33" s="10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9"/>
      <c r="B34" s="13" t="s">
        <v>61</v>
      </c>
      <c r="C34" s="33">
        <f>+C35+C36</f>
        <v>551350</v>
      </c>
      <c r="D34" s="33">
        <f t="shared" ref="D34:L34" si="7">+D35+D36</f>
        <v>572329</v>
      </c>
      <c r="E34" s="33">
        <f>+E35+E36</f>
        <v>608524</v>
      </c>
      <c r="F34" s="33">
        <f t="shared" si="7"/>
        <v>565391</v>
      </c>
      <c r="G34" s="33">
        <f t="shared" si="7"/>
        <v>643436</v>
      </c>
      <c r="H34" s="33">
        <f t="shared" si="7"/>
        <v>611685</v>
      </c>
      <c r="I34" s="33">
        <f t="shared" si="7"/>
        <v>580391</v>
      </c>
      <c r="J34" s="33">
        <f t="shared" si="7"/>
        <v>499733</v>
      </c>
      <c r="K34" s="33">
        <f>+K35+K36-1</f>
        <v>387341</v>
      </c>
      <c r="L34" s="33">
        <f t="shared" si="7"/>
        <v>329151</v>
      </c>
      <c r="M34" s="16"/>
    </row>
    <row r="35" spans="1:13" x14ac:dyDescent="0.25">
      <c r="A35" s="9"/>
      <c r="B35" s="31" t="s">
        <v>48</v>
      </c>
      <c r="C35" s="29">
        <v>488846</v>
      </c>
      <c r="D35" s="29">
        <f>+C34</f>
        <v>551350</v>
      </c>
      <c r="E35" s="29">
        <f t="shared" ref="E35:K35" si="8">+D34</f>
        <v>572329</v>
      </c>
      <c r="F35" s="29">
        <f t="shared" si="8"/>
        <v>608524</v>
      </c>
      <c r="G35" s="29">
        <f t="shared" si="8"/>
        <v>565391</v>
      </c>
      <c r="H35" s="29">
        <f t="shared" si="8"/>
        <v>643436</v>
      </c>
      <c r="I35" s="29">
        <f t="shared" si="8"/>
        <v>611685</v>
      </c>
      <c r="J35" s="29">
        <f t="shared" si="8"/>
        <v>580391</v>
      </c>
      <c r="K35" s="29">
        <f t="shared" si="8"/>
        <v>499733</v>
      </c>
      <c r="L35" s="29">
        <f>+K34</f>
        <v>387341</v>
      </c>
      <c r="M35" s="16"/>
    </row>
    <row r="36" spans="1:13" x14ac:dyDescent="0.25">
      <c r="A36" s="9"/>
      <c r="B36" s="31" t="s">
        <v>62</v>
      </c>
      <c r="C36" s="29">
        <f>+'2.1 Resultaträkning'!C43</f>
        <v>62504</v>
      </c>
      <c r="D36" s="29">
        <f>+'2.1 Resultaträkning'!D43+1</f>
        <v>20979</v>
      </c>
      <c r="E36" s="29">
        <f>+'2.1 Resultaträkning'!E43</f>
        <v>36195</v>
      </c>
      <c r="F36" s="29">
        <f>+'2.1 Resultaträkning'!F43</f>
        <v>-43133</v>
      </c>
      <c r="G36" s="29">
        <f>+'2.1 Resultaträkning'!G43</f>
        <v>78045</v>
      </c>
      <c r="H36" s="29">
        <f>+'2.1 Resultaträkning'!H43</f>
        <v>-31751</v>
      </c>
      <c r="I36" s="29">
        <f>+'2.1 Resultaträkning'!I43</f>
        <v>-31294</v>
      </c>
      <c r="J36" s="29">
        <f>+'2.1 Resultaträkning'!J43</f>
        <v>-80658</v>
      </c>
      <c r="K36" s="29">
        <f>+'2.1 Resultaträkning'!K43</f>
        <v>-112391</v>
      </c>
      <c r="L36" s="29">
        <f>+'2.1 Resultaträkning'!L43</f>
        <v>-58190</v>
      </c>
      <c r="M36" s="16"/>
    </row>
    <row r="37" spans="1:13" x14ac:dyDescent="0.25">
      <c r="A37" s="9"/>
      <c r="B37" s="1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5">
      <c r="A38" s="9"/>
      <c r="B38" s="49" t="s">
        <v>63</v>
      </c>
      <c r="C38" s="19">
        <f>+C34+C32</f>
        <v>705850</v>
      </c>
      <c r="D38" s="19">
        <f t="shared" ref="D38:L38" si="9">+D34+D32</f>
        <v>726829</v>
      </c>
      <c r="E38" s="19">
        <f>+E34+E32</f>
        <v>763024</v>
      </c>
      <c r="F38" s="19">
        <f t="shared" si="9"/>
        <v>719891</v>
      </c>
      <c r="G38" s="19">
        <f t="shared" si="9"/>
        <v>797936</v>
      </c>
      <c r="H38" s="19">
        <f t="shared" si="9"/>
        <v>766185</v>
      </c>
      <c r="I38" s="19">
        <f t="shared" si="9"/>
        <v>734891</v>
      </c>
      <c r="J38" s="19">
        <f t="shared" si="9"/>
        <v>654233</v>
      </c>
      <c r="K38" s="19">
        <f t="shared" si="9"/>
        <v>541841</v>
      </c>
      <c r="L38" s="19">
        <f t="shared" si="9"/>
        <v>483651</v>
      </c>
      <c r="M38" s="16"/>
    </row>
    <row r="39" spans="1:13" x14ac:dyDescent="0.25">
      <c r="A39" s="9"/>
      <c r="B39" s="10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9"/>
      <c r="B40" s="50" t="s">
        <v>64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9"/>
      <c r="B41" s="13" t="s">
        <v>65</v>
      </c>
      <c r="C41" s="33">
        <v>2044463</v>
      </c>
      <c r="D41" s="33">
        <v>1880852</v>
      </c>
      <c r="E41" s="33">
        <v>1748460</v>
      </c>
      <c r="F41" s="33">
        <v>1395068</v>
      </c>
      <c r="G41" s="33">
        <v>2549729</v>
      </c>
      <c r="H41" s="33">
        <v>2501697</v>
      </c>
      <c r="I41" s="33">
        <v>4532436</v>
      </c>
      <c r="J41" s="33">
        <v>4572690</v>
      </c>
      <c r="K41" s="33">
        <v>5211674</v>
      </c>
      <c r="L41" s="33">
        <v>7007680</v>
      </c>
      <c r="M41" s="16"/>
    </row>
    <row r="42" spans="1:13" x14ac:dyDescent="0.25">
      <c r="A42" s="9"/>
      <c r="B42" s="10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16"/>
    </row>
    <row r="43" spans="1:13" x14ac:dyDescent="0.25">
      <c r="A43" s="9"/>
      <c r="B43" s="13" t="s">
        <v>66</v>
      </c>
      <c r="C43" s="33">
        <f>32707+2904+34010+1893</f>
        <v>71514</v>
      </c>
      <c r="D43" s="33">
        <f>66434+36023+2205</f>
        <v>104662</v>
      </c>
      <c r="E43" s="33">
        <f>24062+7049+39922+1536</f>
        <v>72569</v>
      </c>
      <c r="F43" s="33">
        <f>30073+11993+35975+1248</f>
        <v>79289</v>
      </c>
      <c r="G43" s="33">
        <f>104332+40114+1096</f>
        <v>145542</v>
      </c>
      <c r="H43" s="33">
        <f>46751+3086+37389+1097</f>
        <v>88323</v>
      </c>
      <c r="I43" s="33">
        <f>152762+100+42448+1144</f>
        <v>196454</v>
      </c>
      <c r="J43" s="33">
        <f>33666+49162+1171</f>
        <v>83999</v>
      </c>
      <c r="K43" s="33">
        <f>62127+49930+1309</f>
        <v>113366</v>
      </c>
      <c r="L43" s="33">
        <f>54890+49653+1346</f>
        <v>105889</v>
      </c>
      <c r="M43" s="16"/>
    </row>
    <row r="44" spans="1:13" x14ac:dyDescent="0.25">
      <c r="A44" s="9"/>
      <c r="B44" s="10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  <row r="45" spans="1:13" x14ac:dyDescent="0.25">
      <c r="A45" s="9"/>
      <c r="B45" s="49" t="s">
        <v>67</v>
      </c>
      <c r="C45" s="19">
        <f>+C43+C41</f>
        <v>2115977</v>
      </c>
      <c r="D45" s="19">
        <f t="shared" ref="D45:L45" si="10">+D43+D41</f>
        <v>1985514</v>
      </c>
      <c r="E45" s="19">
        <f t="shared" si="10"/>
        <v>1821029</v>
      </c>
      <c r="F45" s="19">
        <f t="shared" si="10"/>
        <v>1474357</v>
      </c>
      <c r="G45" s="19">
        <f t="shared" si="10"/>
        <v>2695271</v>
      </c>
      <c r="H45" s="19">
        <f t="shared" si="10"/>
        <v>2590020</v>
      </c>
      <c r="I45" s="19">
        <f t="shared" si="10"/>
        <v>4728890</v>
      </c>
      <c r="J45" s="19">
        <f t="shared" si="10"/>
        <v>4656689</v>
      </c>
      <c r="K45" s="19">
        <f t="shared" si="10"/>
        <v>5325040</v>
      </c>
      <c r="L45" s="19">
        <f t="shared" si="10"/>
        <v>7113569</v>
      </c>
      <c r="M45" s="16"/>
    </row>
    <row r="46" spans="1:13" x14ac:dyDescent="0.25">
      <c r="A46" s="9"/>
      <c r="B46" s="10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</row>
    <row r="47" spans="1:13" x14ac:dyDescent="0.25">
      <c r="A47" s="9"/>
      <c r="B47" s="49" t="s">
        <v>68</v>
      </c>
      <c r="C47" s="19">
        <f>+C45+C38</f>
        <v>2821827</v>
      </c>
      <c r="D47" s="19">
        <f t="shared" ref="D47:L47" si="11">+D45+D38</f>
        <v>2712343</v>
      </c>
      <c r="E47" s="19">
        <f>+E45+E38</f>
        <v>2584053</v>
      </c>
      <c r="F47" s="19">
        <f t="shared" si="11"/>
        <v>2194248</v>
      </c>
      <c r="G47" s="19">
        <f t="shared" si="11"/>
        <v>3493207</v>
      </c>
      <c r="H47" s="19">
        <f t="shared" si="11"/>
        <v>3356205</v>
      </c>
      <c r="I47" s="19">
        <f t="shared" si="11"/>
        <v>5463781</v>
      </c>
      <c r="J47" s="19">
        <f t="shared" si="11"/>
        <v>5310922</v>
      </c>
      <c r="K47" s="19">
        <f t="shared" si="11"/>
        <v>5866881</v>
      </c>
      <c r="L47" s="19">
        <f t="shared" si="11"/>
        <v>7597220</v>
      </c>
      <c r="M47" s="16"/>
    </row>
    <row r="48" spans="1:13" x14ac:dyDescent="0.25">
      <c r="A48" s="9"/>
      <c r="B48" s="15" t="s">
        <v>69</v>
      </c>
      <c r="C48" s="32">
        <f>+C47-C28</f>
        <v>0</v>
      </c>
      <c r="D48" s="32">
        <f t="shared" ref="D48:L48" si="12">+D47-D28</f>
        <v>0</v>
      </c>
      <c r="E48" s="32">
        <f t="shared" si="12"/>
        <v>0</v>
      </c>
      <c r="F48" s="32">
        <f t="shared" si="12"/>
        <v>0</v>
      </c>
      <c r="G48" s="32">
        <f t="shared" si="12"/>
        <v>0</v>
      </c>
      <c r="H48" s="32">
        <f t="shared" si="12"/>
        <v>0</v>
      </c>
      <c r="I48" s="32">
        <f t="shared" si="12"/>
        <v>0</v>
      </c>
      <c r="J48" s="32">
        <f t="shared" si="12"/>
        <v>0</v>
      </c>
      <c r="K48" s="32">
        <f t="shared" si="12"/>
        <v>0</v>
      </c>
      <c r="L48" s="32">
        <f t="shared" si="12"/>
        <v>0</v>
      </c>
      <c r="M48" s="16"/>
    </row>
    <row r="49" spans="1:13" x14ac:dyDescent="0.25">
      <c r="A49" s="9"/>
      <c r="B49" s="9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1:13" x14ac:dyDescent="0.25">
      <c r="A50" s="9"/>
      <c r="B50" s="9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idden="1" x14ac:dyDescent="0.25">
      <c r="A51" s="9"/>
      <c r="B51" s="9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50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L28" sqref="L28"/>
    </sheetView>
  </sheetViews>
  <sheetFormatPr defaultColWidth="0" defaultRowHeight="15" zeroHeight="1" x14ac:dyDescent="0.25"/>
  <cols>
    <col min="1" max="1" width="9.140625" customWidth="1"/>
    <col min="2" max="2" width="46.7109375" customWidth="1"/>
    <col min="3" max="13" width="14.7109375" customWidth="1"/>
    <col min="14" max="16384" width="9.140625" hidden="1"/>
  </cols>
  <sheetData>
    <row r="1" spans="1:13" ht="18" x14ac:dyDescent="0.25">
      <c r="A1" s="9"/>
      <c r="B1" s="8" t="s">
        <v>90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3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3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1:13" ht="46.5" customHeight="1" thickBot="1" x14ac:dyDescent="0.3">
      <c r="A5" s="9"/>
      <c r="B5" s="10" t="s">
        <v>89</v>
      </c>
      <c r="C5" s="17" t="s">
        <v>35</v>
      </c>
      <c r="D5" s="17" t="s">
        <v>36</v>
      </c>
      <c r="E5" s="17" t="s">
        <v>37</v>
      </c>
      <c r="F5" s="17" t="s">
        <v>38</v>
      </c>
      <c r="G5" s="17" t="s">
        <v>39</v>
      </c>
      <c r="H5" s="17" t="s">
        <v>40</v>
      </c>
      <c r="I5" s="17" t="s">
        <v>41</v>
      </c>
      <c r="J5" s="17" t="s">
        <v>42</v>
      </c>
      <c r="K5" s="17" t="s">
        <v>43</v>
      </c>
      <c r="L5" s="17" t="s">
        <v>120</v>
      </c>
      <c r="M5" s="9"/>
    </row>
    <row r="6" spans="1:13" x14ac:dyDescent="0.25">
      <c r="A6" s="9"/>
      <c r="B6" s="11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 x14ac:dyDescent="0.25">
      <c r="A7" s="9"/>
      <c r="B7" s="50" t="s">
        <v>71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16"/>
    </row>
    <row r="8" spans="1:13" x14ac:dyDescent="0.25">
      <c r="A8" s="9"/>
      <c r="B8" s="10" t="s">
        <v>29</v>
      </c>
      <c r="C8" s="53">
        <f>+'2.1 Resultaträkning'!C34</f>
        <v>124788</v>
      </c>
      <c r="D8" s="53">
        <f>+'2.1 Resultaträkning'!D34</f>
        <v>81144</v>
      </c>
      <c r="E8" s="53">
        <f>+'2.1 Resultaträkning'!E34</f>
        <v>108959</v>
      </c>
      <c r="F8" s="53">
        <f>+'2.1 Resultaträkning'!F34</f>
        <v>19380</v>
      </c>
      <c r="G8" s="53">
        <f>+'2.1 Resultaträkning'!G34</f>
        <v>133795</v>
      </c>
      <c r="H8" s="53">
        <f>+'2.1 Resultaträkning'!H34</f>
        <v>37355</v>
      </c>
      <c r="I8" s="53">
        <f>+'2.1 Resultaträkning'!I34</f>
        <v>35474</v>
      </c>
      <c r="J8" s="53">
        <f>+'2.1 Resultaträkning'!J34</f>
        <v>-6061</v>
      </c>
      <c r="K8" s="53">
        <f>+'2.1 Resultaträkning'!K34</f>
        <v>-37447</v>
      </c>
      <c r="L8" s="53">
        <f>+'2.1 Resultaträkning'!L34</f>
        <v>33802</v>
      </c>
      <c r="M8" s="16"/>
    </row>
    <row r="9" spans="1:13" x14ac:dyDescent="0.25">
      <c r="A9" s="9"/>
      <c r="B9" s="10" t="s">
        <v>72</v>
      </c>
      <c r="C9" s="53">
        <f>+'2.1 Resultaträkning'!C37</f>
        <v>504</v>
      </c>
      <c r="D9" s="53">
        <f>+'2.1 Resultaträkning'!D37</f>
        <v>238</v>
      </c>
      <c r="E9" s="53">
        <f>+'2.1 Resultaträkning'!E37</f>
        <v>1142</v>
      </c>
      <c r="F9" s="53">
        <f>+'2.1 Resultaträkning'!F37</f>
        <v>1107</v>
      </c>
      <c r="G9" s="53">
        <f>+'2.1 Resultaträkning'!G37</f>
        <v>2332</v>
      </c>
      <c r="H9" s="53">
        <f>+'2.1 Resultaträkning'!H37</f>
        <v>1219</v>
      </c>
      <c r="I9" s="53">
        <f>+'2.1 Resultaträkning'!I37</f>
        <v>40</v>
      </c>
      <c r="J9" s="53">
        <f>+'2.1 Resultaträkning'!J37</f>
        <v>23</v>
      </c>
      <c r="K9" s="53">
        <f>+'2.1 Resultaträkning'!K37</f>
        <v>1</v>
      </c>
      <c r="L9" s="53">
        <f>+'2.1 Resultaträkning'!L37</f>
        <v>0</v>
      </c>
      <c r="M9" s="16"/>
    </row>
    <row r="10" spans="1:13" x14ac:dyDescent="0.25">
      <c r="A10" s="9"/>
      <c r="B10" s="10" t="s">
        <v>73</v>
      </c>
      <c r="C10" s="53">
        <f>+'2.1 Resultaträkning'!C39</f>
        <v>-62788</v>
      </c>
      <c r="D10" s="53">
        <f>+'2.1 Resultaträkning'!D39</f>
        <v>-60404</v>
      </c>
      <c r="E10" s="53">
        <f>+'2.1 Resultaträkning'!E39</f>
        <v>-73906</v>
      </c>
      <c r="F10" s="53">
        <f>+'2.1 Resultaträkning'!F39</f>
        <v>-63620</v>
      </c>
      <c r="G10" s="53">
        <f>+'2.1 Resultaträkning'!G39</f>
        <v>-58082</v>
      </c>
      <c r="H10" s="53">
        <f>+'2.1 Resultaträkning'!H39</f>
        <v>-70325</v>
      </c>
      <c r="I10" s="53">
        <f>+'2.1 Resultaträkning'!I39</f>
        <v>-66808</v>
      </c>
      <c r="J10" s="53">
        <f>+'2.1 Resultaträkning'!J39</f>
        <v>-74620</v>
      </c>
      <c r="K10" s="53">
        <f>+'2.1 Resultaträkning'!K39</f>
        <v>-74945</v>
      </c>
      <c r="L10" s="53">
        <f>+'2.1 Resultaträkning'!L39</f>
        <v>-91992</v>
      </c>
      <c r="M10" s="16"/>
    </row>
    <row r="11" spans="1:13" x14ac:dyDescent="0.25">
      <c r="A11" s="9"/>
      <c r="B11" s="10" t="s">
        <v>74</v>
      </c>
      <c r="C11" s="53">
        <f>-'2.1 Resultaträkning'!C32</f>
        <v>67426</v>
      </c>
      <c r="D11" s="53">
        <f>-'2.1 Resultaträkning'!D32</f>
        <v>86854</v>
      </c>
      <c r="E11" s="53">
        <f>-'2.1 Resultaträkning'!E32</f>
        <v>94104</v>
      </c>
      <c r="F11" s="53">
        <f>-'2.1 Resultaträkning'!F32</f>
        <v>90308</v>
      </c>
      <c r="G11" s="53">
        <f>-'2.1 Resultaträkning'!G32</f>
        <v>82716</v>
      </c>
      <c r="H11" s="53">
        <f>-'2.1 Resultaträkning'!H32</f>
        <v>114060</v>
      </c>
      <c r="I11" s="53">
        <f>-'2.1 Resultaträkning'!I32</f>
        <v>143058</v>
      </c>
      <c r="J11" s="53">
        <f>-'2.1 Resultaträkning'!J32</f>
        <v>250968</v>
      </c>
      <c r="K11" s="53">
        <f>-'2.1 Resultaträkning'!K32</f>
        <v>260376</v>
      </c>
      <c r="L11" s="53">
        <f>-'2.1 Resultaträkning'!L32</f>
        <v>221612</v>
      </c>
      <c r="M11" s="16"/>
    </row>
    <row r="12" spans="1:13" x14ac:dyDescent="0.25">
      <c r="A12" s="9"/>
      <c r="B12" s="49" t="s">
        <v>75</v>
      </c>
      <c r="C12" s="19">
        <f>+SUM(C8:C11)</f>
        <v>129930</v>
      </c>
      <c r="D12" s="19">
        <f t="shared" ref="D12:L12" si="0">+SUM(D8:D11)</f>
        <v>107832</v>
      </c>
      <c r="E12" s="19">
        <f t="shared" si="0"/>
        <v>130299</v>
      </c>
      <c r="F12" s="19">
        <f t="shared" si="0"/>
        <v>47175</v>
      </c>
      <c r="G12" s="19">
        <f t="shared" si="0"/>
        <v>160761</v>
      </c>
      <c r="H12" s="19">
        <f t="shared" si="0"/>
        <v>82309</v>
      </c>
      <c r="I12" s="19">
        <f t="shared" si="0"/>
        <v>111764</v>
      </c>
      <c r="J12" s="19">
        <f t="shared" si="0"/>
        <v>170310</v>
      </c>
      <c r="K12" s="19">
        <f t="shared" si="0"/>
        <v>147985</v>
      </c>
      <c r="L12" s="19">
        <f t="shared" si="0"/>
        <v>163422</v>
      </c>
      <c r="M12" s="16"/>
    </row>
    <row r="13" spans="1:13" x14ac:dyDescent="0.25">
      <c r="A13" s="9"/>
      <c r="B13" s="55" t="s">
        <v>76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16"/>
    </row>
    <row r="14" spans="1:13" x14ac:dyDescent="0.25">
      <c r="A14" s="9"/>
      <c r="B14" s="10"/>
      <c r="C14" s="21"/>
      <c r="D14" s="22"/>
      <c r="E14" s="22"/>
      <c r="F14" s="22"/>
      <c r="G14" s="22"/>
      <c r="H14" s="22"/>
      <c r="I14" s="22"/>
      <c r="J14" s="22"/>
      <c r="K14" s="22"/>
      <c r="L14" s="22"/>
      <c r="M14" s="16"/>
    </row>
    <row r="15" spans="1:13" x14ac:dyDescent="0.25">
      <c r="A15" s="9"/>
      <c r="B15" s="24" t="s">
        <v>77</v>
      </c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16"/>
    </row>
    <row r="16" spans="1:13" x14ac:dyDescent="0.25">
      <c r="A16" s="9"/>
      <c r="B16" s="10" t="s">
        <v>78</v>
      </c>
      <c r="C16" s="53">
        <f>-'2.2 Balansräkning'!C22+10451+360547+1682</f>
        <v>18611</v>
      </c>
      <c r="D16" s="53">
        <f>-'2.2 Balansräkning'!D22+'2.2 Balansräkning'!C22</f>
        <v>9128</v>
      </c>
      <c r="E16" s="53">
        <f>-'2.2 Balansräkning'!E22+'2.2 Balansräkning'!D22</f>
        <v>28244</v>
      </c>
      <c r="F16" s="53">
        <f>-'2.2 Balansräkning'!F22+'2.2 Balansräkning'!E22</f>
        <v>272698</v>
      </c>
      <c r="G16" s="53">
        <f>-'2.2 Balansräkning'!G22+'2.2 Balansräkning'!F22</f>
        <v>8955</v>
      </c>
      <c r="H16" s="53">
        <f>-'2.2 Balansräkning'!H22+'2.2 Balansräkning'!G22</f>
        <v>14635</v>
      </c>
      <c r="I16" s="53">
        <f>-'2.2 Balansräkning'!I22+'2.2 Balansräkning'!H22</f>
        <v>-3081</v>
      </c>
      <c r="J16" s="53">
        <f>-'2.2 Balansräkning'!J22+'2.2 Balansräkning'!I22</f>
        <v>-1308</v>
      </c>
      <c r="K16" s="53">
        <f>-'2.2 Balansräkning'!K22+'2.2 Balansräkning'!J22</f>
        <v>1555</v>
      </c>
      <c r="L16" s="53">
        <f>-'2.2 Balansräkning'!L22+'2.2 Balansräkning'!K22</f>
        <v>-2118</v>
      </c>
      <c r="M16" s="16"/>
    </row>
    <row r="17" spans="1:13" x14ac:dyDescent="0.25">
      <c r="A17" s="9"/>
      <c r="B17" s="10" t="s">
        <v>79</v>
      </c>
      <c r="C17" s="53">
        <f>+'2.2 Balansräkning'!C43-34686-5737-29218-2125</f>
        <v>-252</v>
      </c>
      <c r="D17" s="53">
        <f>+'2.2 Balansräkning'!D43-'2.2 Balansräkning'!C43</f>
        <v>33148</v>
      </c>
      <c r="E17" s="53">
        <f>+'2.2 Balansräkning'!E43-'2.2 Balansräkning'!D43</f>
        <v>-32093</v>
      </c>
      <c r="F17" s="53">
        <f>+'2.2 Balansräkning'!F43-'2.2 Balansräkning'!E43</f>
        <v>6720</v>
      </c>
      <c r="G17" s="53">
        <f>+'2.2 Balansräkning'!G43-'2.2 Balansräkning'!F43</f>
        <v>66253</v>
      </c>
      <c r="H17" s="53">
        <f>+'2.2 Balansräkning'!H43-'2.2 Balansräkning'!G43</f>
        <v>-57219</v>
      </c>
      <c r="I17" s="53">
        <f>+'2.2 Balansräkning'!I43-'2.2 Balansräkning'!H43</f>
        <v>108131</v>
      </c>
      <c r="J17" s="53">
        <f>+'2.2 Balansräkning'!J43-'2.2 Balansräkning'!I43</f>
        <v>-112455</v>
      </c>
      <c r="K17" s="53">
        <f>+'2.2 Balansräkning'!K43-'2.2 Balansräkning'!J43</f>
        <v>29367</v>
      </c>
      <c r="L17" s="53">
        <f>+'2.2 Balansräkning'!L43-'2.2 Balansräkning'!K43</f>
        <v>-7477</v>
      </c>
      <c r="M17" s="16"/>
    </row>
    <row r="18" spans="1:13" x14ac:dyDescent="0.25">
      <c r="A18" s="9"/>
      <c r="B18" s="49" t="s">
        <v>75</v>
      </c>
      <c r="C18" s="19">
        <f>+SUM(C16:C17)+C12</f>
        <v>148289</v>
      </c>
      <c r="D18" s="19">
        <f t="shared" ref="D18:L18" si="1">+SUM(D16:D17)+D12</f>
        <v>150108</v>
      </c>
      <c r="E18" s="19">
        <f t="shared" si="1"/>
        <v>126450</v>
      </c>
      <c r="F18" s="19">
        <f t="shared" si="1"/>
        <v>326593</v>
      </c>
      <c r="G18" s="19">
        <f t="shared" si="1"/>
        <v>235969</v>
      </c>
      <c r="H18" s="19">
        <f t="shared" si="1"/>
        <v>39725</v>
      </c>
      <c r="I18" s="19">
        <f t="shared" si="1"/>
        <v>216814</v>
      </c>
      <c r="J18" s="19">
        <f t="shared" si="1"/>
        <v>56547</v>
      </c>
      <c r="K18" s="19">
        <f t="shared" si="1"/>
        <v>178907</v>
      </c>
      <c r="L18" s="19">
        <f t="shared" si="1"/>
        <v>153827</v>
      </c>
      <c r="M18" s="16"/>
    </row>
    <row r="19" spans="1:13" x14ac:dyDescent="0.25">
      <c r="A19" s="9"/>
      <c r="B19" s="1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6"/>
    </row>
    <row r="20" spans="1:13" x14ac:dyDescent="0.25">
      <c r="A20" s="9"/>
      <c r="B20" s="50" t="s">
        <v>80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16"/>
    </row>
    <row r="21" spans="1:13" x14ac:dyDescent="0.25">
      <c r="A21" s="9"/>
      <c r="B21" s="10" t="s">
        <v>81</v>
      </c>
      <c r="C21" s="53">
        <f>-'2.2 Balansräkning'!C16</f>
        <v>-724155</v>
      </c>
      <c r="D21" s="53">
        <f>-'2.2 Balansräkning'!D16</f>
        <v>-36250</v>
      </c>
      <c r="E21" s="53">
        <f>-'2.2 Balansräkning'!E16</f>
        <v>0</v>
      </c>
      <c r="F21" s="53">
        <f>-'2.2 Balansräkning'!F16</f>
        <v>0</v>
      </c>
      <c r="G21" s="53">
        <f>-'2.2 Balansräkning'!G16</f>
        <v>-1119545</v>
      </c>
      <c r="H21" s="53">
        <f>-'2.2 Balansräkning'!H16</f>
        <v>-173158</v>
      </c>
      <c r="I21" s="53">
        <f>-'2.2 Balansräkning'!I16</f>
        <v>-2351338</v>
      </c>
      <c r="J21" s="53">
        <f>-'2.2 Balansräkning'!J16</f>
        <v>0</v>
      </c>
      <c r="K21" s="53">
        <f>-'2.2 Balansräkning'!K16</f>
        <v>-954938</v>
      </c>
      <c r="L21" s="53">
        <f>-'2.2 Balansräkning'!L16</f>
        <v>-1817220</v>
      </c>
      <c r="M21" s="16"/>
    </row>
    <row r="22" spans="1:13" x14ac:dyDescent="0.25">
      <c r="A22" s="9"/>
      <c r="B22" s="49" t="s">
        <v>82</v>
      </c>
      <c r="C22" s="19">
        <f>+C21</f>
        <v>-724155</v>
      </c>
      <c r="D22" s="19">
        <f t="shared" ref="D22:L22" si="2">+D21</f>
        <v>-36250</v>
      </c>
      <c r="E22" s="19">
        <f t="shared" si="2"/>
        <v>0</v>
      </c>
      <c r="F22" s="19">
        <f t="shared" si="2"/>
        <v>0</v>
      </c>
      <c r="G22" s="19">
        <f t="shared" si="2"/>
        <v>-1119545</v>
      </c>
      <c r="H22" s="19">
        <f t="shared" si="2"/>
        <v>-173158</v>
      </c>
      <c r="I22" s="19">
        <f t="shared" si="2"/>
        <v>-2351338</v>
      </c>
      <c r="J22" s="19">
        <f t="shared" si="2"/>
        <v>0</v>
      </c>
      <c r="K22" s="19">
        <f t="shared" si="2"/>
        <v>-954938</v>
      </c>
      <c r="L22" s="19">
        <f t="shared" si="2"/>
        <v>-1817220</v>
      </c>
      <c r="M22" s="16"/>
    </row>
    <row r="23" spans="1:13" x14ac:dyDescent="0.25">
      <c r="A23" s="9"/>
      <c r="B23" s="1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16"/>
    </row>
    <row r="24" spans="1:13" x14ac:dyDescent="0.25">
      <c r="A24" s="9"/>
      <c r="B24" s="50" t="s">
        <v>83</v>
      </c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16"/>
    </row>
    <row r="25" spans="1:13" x14ac:dyDescent="0.25">
      <c r="A25" s="9"/>
      <c r="B25" s="10" t="s">
        <v>84</v>
      </c>
      <c r="C25" s="53">
        <f>+'2.2 Balansräkning'!C41-1432094</f>
        <v>612369</v>
      </c>
      <c r="D25" s="53">
        <f>+'2.2 Balansräkning'!D41-'2.2 Balansräkning'!C41</f>
        <v>-163611</v>
      </c>
      <c r="E25" s="53">
        <f>+'2.2 Balansräkning'!E41-'2.2 Balansräkning'!D41</f>
        <v>-132392</v>
      </c>
      <c r="F25" s="53">
        <f>+'2.2 Balansräkning'!F41-'2.2 Balansräkning'!E41</f>
        <v>-353392</v>
      </c>
      <c r="G25" s="53">
        <f>+'2.2 Balansräkning'!G41-'2.2 Balansräkning'!F41</f>
        <v>1154661</v>
      </c>
      <c r="H25" s="53">
        <f>+'2.2 Balansräkning'!H41-'2.2 Balansräkning'!G41</f>
        <v>-48032</v>
      </c>
      <c r="I25" s="53">
        <f>+'2.2 Balansräkning'!I41-'2.2 Balansräkning'!H41</f>
        <v>2030739</v>
      </c>
      <c r="J25" s="53">
        <f>+'2.2 Balansräkning'!J41-'2.2 Balansräkning'!I41</f>
        <v>40254</v>
      </c>
      <c r="K25" s="53">
        <f>+'2.2 Balansräkning'!K41-'2.2 Balansräkning'!J41</f>
        <v>638984</v>
      </c>
      <c r="L25" s="53">
        <f>+'2.2 Balansräkning'!L41-'2.2 Balansräkning'!K41</f>
        <v>1796006</v>
      </c>
      <c r="M25" s="16"/>
    </row>
    <row r="26" spans="1:13" x14ac:dyDescent="0.25">
      <c r="A26" s="9"/>
      <c r="B26" s="49" t="s">
        <v>85</v>
      </c>
      <c r="C26" s="19">
        <f>+C25</f>
        <v>612369</v>
      </c>
      <c r="D26" s="19">
        <f t="shared" ref="D26:L26" si="3">+D25</f>
        <v>-163611</v>
      </c>
      <c r="E26" s="19">
        <f t="shared" si="3"/>
        <v>-132392</v>
      </c>
      <c r="F26" s="19">
        <f t="shared" si="3"/>
        <v>-353392</v>
      </c>
      <c r="G26" s="19">
        <f t="shared" si="3"/>
        <v>1154661</v>
      </c>
      <c r="H26" s="19">
        <f t="shared" si="3"/>
        <v>-48032</v>
      </c>
      <c r="I26" s="19">
        <f t="shared" si="3"/>
        <v>2030739</v>
      </c>
      <c r="J26" s="19">
        <f t="shared" si="3"/>
        <v>40254</v>
      </c>
      <c r="K26" s="19">
        <f t="shared" si="3"/>
        <v>638984</v>
      </c>
      <c r="L26" s="19">
        <f t="shared" si="3"/>
        <v>1796006</v>
      </c>
      <c r="M26" s="16"/>
    </row>
    <row r="27" spans="1:13" x14ac:dyDescent="0.25">
      <c r="A27" s="9"/>
      <c r="B27" s="1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16"/>
    </row>
    <row r="28" spans="1:13" x14ac:dyDescent="0.25">
      <c r="A28" s="9"/>
      <c r="B28" s="54" t="s">
        <v>86</v>
      </c>
      <c r="C28" s="18">
        <f>+C26+C22+C18</f>
        <v>36503</v>
      </c>
      <c r="D28" s="18">
        <f>+D26+D22+D18+1</f>
        <v>-49752</v>
      </c>
      <c r="E28" s="18">
        <f t="shared" ref="E28:K28" si="4">+E26+E22+E18</f>
        <v>-5942</v>
      </c>
      <c r="F28" s="18">
        <f t="shared" si="4"/>
        <v>-26799</v>
      </c>
      <c r="G28" s="18">
        <f t="shared" si="4"/>
        <v>271085</v>
      </c>
      <c r="H28" s="18">
        <f t="shared" si="4"/>
        <v>-181465</v>
      </c>
      <c r="I28" s="18">
        <f t="shared" si="4"/>
        <v>-103785</v>
      </c>
      <c r="J28" s="18">
        <f t="shared" si="4"/>
        <v>96801</v>
      </c>
      <c r="K28" s="18">
        <f t="shared" si="4"/>
        <v>-137047</v>
      </c>
      <c r="L28" s="18">
        <f t="shared" ref="L28" si="5">+L26+L22+L18</f>
        <v>132613</v>
      </c>
      <c r="M28" s="16"/>
    </row>
    <row r="29" spans="1:13" x14ac:dyDescent="0.25">
      <c r="A29" s="9"/>
      <c r="B29" s="50" t="s">
        <v>87</v>
      </c>
      <c r="C29" s="22">
        <f>92001+15278+2663+108</f>
        <v>110050</v>
      </c>
      <c r="D29" s="22">
        <f>+C30</f>
        <v>146553</v>
      </c>
      <c r="E29" s="22">
        <f t="shared" ref="E29:L29" si="6">+D30</f>
        <v>96801</v>
      </c>
      <c r="F29" s="22">
        <f t="shared" si="6"/>
        <v>90859</v>
      </c>
      <c r="G29" s="22">
        <f t="shared" si="6"/>
        <v>64060</v>
      </c>
      <c r="H29" s="22">
        <f t="shared" si="6"/>
        <v>335145</v>
      </c>
      <c r="I29" s="22">
        <f t="shared" si="6"/>
        <v>153680</v>
      </c>
      <c r="J29" s="22">
        <f t="shared" si="6"/>
        <v>49895</v>
      </c>
      <c r="K29" s="22">
        <f t="shared" si="6"/>
        <v>146696</v>
      </c>
      <c r="L29" s="22">
        <f t="shared" si="6"/>
        <v>9649</v>
      </c>
      <c r="M29" s="16"/>
    </row>
    <row r="30" spans="1:13" x14ac:dyDescent="0.25">
      <c r="A30" s="9"/>
      <c r="B30" s="49" t="s">
        <v>88</v>
      </c>
      <c r="C30" s="19">
        <f>+C29+C28</f>
        <v>146553</v>
      </c>
      <c r="D30" s="19">
        <f t="shared" ref="D30:K30" si="7">+D29+D28</f>
        <v>96801</v>
      </c>
      <c r="E30" s="19">
        <f t="shared" si="7"/>
        <v>90859</v>
      </c>
      <c r="F30" s="19">
        <f t="shared" si="7"/>
        <v>64060</v>
      </c>
      <c r="G30" s="19">
        <f t="shared" si="7"/>
        <v>335145</v>
      </c>
      <c r="H30" s="19">
        <f t="shared" si="7"/>
        <v>153680</v>
      </c>
      <c r="I30" s="19">
        <f t="shared" si="7"/>
        <v>49895</v>
      </c>
      <c r="J30" s="19">
        <f t="shared" si="7"/>
        <v>146696</v>
      </c>
      <c r="K30" s="19">
        <f t="shared" si="7"/>
        <v>9649</v>
      </c>
      <c r="L30" s="19">
        <f t="shared" ref="L30" si="8">+L29+L28</f>
        <v>142262</v>
      </c>
      <c r="M30" s="16"/>
    </row>
    <row r="31" spans="1:13" x14ac:dyDescent="0.25">
      <c r="A31" s="9"/>
      <c r="B31" s="12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16"/>
    </row>
    <row r="32" spans="1:13" x14ac:dyDescent="0.25">
      <c r="A32" s="9"/>
      <c r="B32" s="13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16"/>
    </row>
    <row r="33" spans="1:13" x14ac:dyDescent="0.25">
      <c r="A33" s="9"/>
      <c r="B33" s="1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16"/>
    </row>
    <row r="34" spans="1:13" x14ac:dyDescent="0.25">
      <c r="A34" s="9"/>
      <c r="B34" s="13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16"/>
    </row>
    <row r="35" spans="1:13" x14ac:dyDescent="0.25">
      <c r="A35" s="9"/>
      <c r="B35" s="25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16"/>
    </row>
    <row r="36" spans="1:13" hidden="1" x14ac:dyDescent="0.25">
      <c r="A36" s="9"/>
      <c r="B36" s="25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16"/>
    </row>
    <row r="37" spans="1:13" hidden="1" x14ac:dyDescent="0.25">
      <c r="A37" s="9"/>
      <c r="B37" s="1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6"/>
    </row>
    <row r="38" spans="1:13" hidden="1" x14ac:dyDescent="0.25">
      <c r="A38" s="9"/>
      <c r="B38" s="14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16"/>
    </row>
    <row r="39" spans="1:13" hidden="1" x14ac:dyDescent="0.25">
      <c r="A39" s="9"/>
      <c r="B39" s="1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16"/>
    </row>
    <row r="40" spans="1:13" hidden="1" x14ac:dyDescent="0.25">
      <c r="A40" s="9"/>
      <c r="B40" s="12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16"/>
    </row>
    <row r="41" spans="1:13" hidden="1" x14ac:dyDescent="0.25">
      <c r="A41" s="9"/>
      <c r="B41" s="1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16"/>
    </row>
    <row r="42" spans="1:13" hidden="1" x14ac:dyDescent="0.25">
      <c r="A42" s="9"/>
      <c r="B42" s="1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6"/>
    </row>
    <row r="43" spans="1:13" hidden="1" x14ac:dyDescent="0.25">
      <c r="A43" s="9"/>
      <c r="B43" s="13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16"/>
    </row>
    <row r="44" spans="1:13" hidden="1" x14ac:dyDescent="0.25">
      <c r="A44" s="9"/>
      <c r="B44" s="1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16"/>
    </row>
    <row r="45" spans="1:13" hidden="1" x14ac:dyDescent="0.25">
      <c r="A45" s="9"/>
      <c r="B45" s="14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16"/>
    </row>
    <row r="46" spans="1:13" hidden="1" x14ac:dyDescent="0.25">
      <c r="A46" s="9"/>
      <c r="B46" s="1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6"/>
    </row>
    <row r="47" spans="1:13" hidden="1" x14ac:dyDescent="0.25">
      <c r="A47" s="9"/>
      <c r="B47" s="14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</row>
    <row r="48" spans="1:13" hidden="1" x14ac:dyDescent="0.25">
      <c r="A48" s="9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</row>
    <row r="49" spans="1:13" hidden="1" x14ac:dyDescent="0.25">
      <c r="A49" s="9"/>
      <c r="B49" s="9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1:13" hidden="1" x14ac:dyDescent="0.25">
      <c r="A50" s="9"/>
      <c r="B50" s="9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Q102"/>
  <sheetViews>
    <sheetView zoomScale="80" zoomScaleNormal="80" workbookViewId="0">
      <pane xSplit="1" ySplit="3" topLeftCell="B9" activePane="bottomRight" state="frozen"/>
      <selection pane="topRight" activeCell="B1" sqref="B1"/>
      <selection pane="bottomLeft" activeCell="A4" sqref="A4"/>
      <selection pane="bottomRight" activeCell="P58" sqref="P58"/>
    </sheetView>
  </sheetViews>
  <sheetFormatPr defaultColWidth="0" defaultRowHeight="14.25" x14ac:dyDescent="0.2"/>
  <cols>
    <col min="1" max="1" width="43.42578125" style="3" customWidth="1"/>
    <col min="2" max="2" width="14.7109375" style="3" customWidth="1"/>
    <col min="3" max="3" width="26.7109375" style="3" customWidth="1"/>
    <col min="4" max="16" width="14.7109375" style="3" customWidth="1"/>
    <col min="17" max="17" width="0" style="3" hidden="1" customWidth="1"/>
    <col min="18" max="16384" width="9.140625" style="3" hidden="1"/>
  </cols>
  <sheetData>
    <row r="1" spans="1:15" ht="15.75" x14ac:dyDescent="0.25">
      <c r="A1" s="4" t="s">
        <v>91</v>
      </c>
    </row>
    <row r="2" spans="1:15" ht="15.75" x14ac:dyDescent="0.25">
      <c r="A2" s="4"/>
    </row>
    <row r="3" spans="1:15" ht="30.75" thickBot="1" x14ac:dyDescent="0.3">
      <c r="B3" s="17" t="s">
        <v>120</v>
      </c>
      <c r="C3" s="17" t="s">
        <v>121</v>
      </c>
      <c r="D3" s="17" t="s">
        <v>122</v>
      </c>
      <c r="E3" s="17" t="s">
        <v>123</v>
      </c>
      <c r="F3" s="17" t="s">
        <v>124</v>
      </c>
      <c r="G3" s="17" t="s">
        <v>125</v>
      </c>
      <c r="H3" s="17" t="s">
        <v>126</v>
      </c>
      <c r="I3" s="17" t="s">
        <v>127</v>
      </c>
      <c r="J3" s="17" t="s">
        <v>128</v>
      </c>
      <c r="K3" s="17" t="s">
        <v>129</v>
      </c>
      <c r="L3" s="17" t="s">
        <v>130</v>
      </c>
      <c r="M3" s="17" t="s">
        <v>131</v>
      </c>
      <c r="N3" s="17" t="s">
        <v>132</v>
      </c>
      <c r="O3" s="17" t="s">
        <v>148</v>
      </c>
    </row>
    <row r="4" spans="1:15" ht="15.75" x14ac:dyDescent="0.25">
      <c r="A4" s="23" t="s">
        <v>92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15" x14ac:dyDescent="0.2">
      <c r="A5" s="12" t="s">
        <v>138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5" x14ac:dyDescent="0.2">
      <c r="A6" s="13" t="s">
        <v>144</v>
      </c>
      <c r="B6" s="34">
        <v>0</v>
      </c>
      <c r="C6" s="34">
        <v>0.04</v>
      </c>
      <c r="D6" s="34">
        <v>0.04</v>
      </c>
      <c r="E6" s="34">
        <v>0.04</v>
      </c>
      <c r="F6" s="34">
        <v>0.04</v>
      </c>
      <c r="G6" s="34">
        <v>0.04</v>
      </c>
      <c r="H6" s="34">
        <v>0.02</v>
      </c>
      <c r="I6" s="34">
        <v>0.02</v>
      </c>
      <c r="J6" s="34">
        <v>0.02</v>
      </c>
      <c r="K6" s="34">
        <v>0.02</v>
      </c>
      <c r="L6" s="34">
        <v>0.02</v>
      </c>
      <c r="M6" s="34">
        <v>0.02</v>
      </c>
      <c r="N6" s="34">
        <v>0.02</v>
      </c>
      <c r="O6" s="34">
        <v>0.02</v>
      </c>
    </row>
    <row r="7" spans="1:15" x14ac:dyDescent="0.2">
      <c r="A7" s="10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</row>
    <row r="8" spans="1:15" x14ac:dyDescent="0.2">
      <c r="A8" s="10" t="s">
        <v>12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</row>
    <row r="9" spans="1:15" x14ac:dyDescent="0.2">
      <c r="A9" s="10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</row>
    <row r="10" spans="1:15" x14ac:dyDescent="0.2">
      <c r="A10" s="12" t="s">
        <v>139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</row>
    <row r="11" spans="1:15" x14ac:dyDescent="0.2">
      <c r="A11" s="36" t="s">
        <v>15</v>
      </c>
      <c r="B11" s="34">
        <v>0</v>
      </c>
      <c r="C11" s="34">
        <f>(('2.1 Resultaträkning'!$K17/'2.1 Resultaträkning'!$C17)^(1/8)-1)</f>
        <v>4.0149214773954833E-2</v>
      </c>
      <c r="D11" s="34">
        <f>(('2.1 Resultaträkning'!$K17/'2.1 Resultaträkning'!$C17)^(1/8)-1)</f>
        <v>4.0149214773954833E-2</v>
      </c>
      <c r="E11" s="34">
        <f>(('2.1 Resultaträkning'!$K17/'2.1 Resultaträkning'!$C17)^(1/8)-1)</f>
        <v>4.0149214773954833E-2</v>
      </c>
      <c r="F11" s="34">
        <f>(('2.1 Resultaträkning'!$K17/'2.1 Resultaträkning'!$C17)^(1/8)-1)</f>
        <v>4.0149214773954833E-2</v>
      </c>
      <c r="G11" s="34">
        <f>(('2.1 Resultaträkning'!$K17/'2.1 Resultaträkning'!$C17)^(1/8)-1)</f>
        <v>4.0149214773954833E-2</v>
      </c>
      <c r="H11" s="34">
        <f>(('2.1 Resultaträkning'!$K17/'2.1 Resultaträkning'!$C17)^(1/8)-1)</f>
        <v>4.0149214773954833E-2</v>
      </c>
      <c r="I11" s="34">
        <f>(('2.1 Resultaträkning'!$K17/'2.1 Resultaträkning'!$C17)^(1/8)-1)</f>
        <v>4.0149214773954833E-2</v>
      </c>
      <c r="J11" s="34">
        <f>(('2.1 Resultaträkning'!$K17/'2.1 Resultaträkning'!$C17)^(1/8)-1)</f>
        <v>4.0149214773954833E-2</v>
      </c>
      <c r="K11" s="34">
        <f>(('2.1 Resultaträkning'!$K17/'2.1 Resultaträkning'!$C17)^(1/8)-1)</f>
        <v>4.0149214773954833E-2</v>
      </c>
      <c r="L11" s="34">
        <f>(('2.1 Resultaträkning'!$K17/'2.1 Resultaträkning'!$C17)^(1/8)-1)</f>
        <v>4.0149214773954833E-2</v>
      </c>
      <c r="M11" s="34">
        <f>(('2.1 Resultaträkning'!$K17/'2.1 Resultaträkning'!$C17)^(1/8)-1)</f>
        <v>4.0149214773954833E-2</v>
      </c>
      <c r="N11" s="34">
        <f>(('2.1 Resultaträkning'!$K17/'2.1 Resultaträkning'!$C17)^(1/8)-1)</f>
        <v>4.0149214773954833E-2</v>
      </c>
      <c r="O11" s="34">
        <f>(('2.1 Resultaträkning'!$K17/'2.1 Resultaträkning'!$C17)^(1/8)-1)</f>
        <v>4.0149214773954833E-2</v>
      </c>
    </row>
    <row r="12" spans="1:15" x14ac:dyDescent="0.2">
      <c r="A12" s="37" t="s">
        <v>16</v>
      </c>
      <c r="B12" s="34">
        <v>0</v>
      </c>
      <c r="C12" s="34">
        <f>(('2.1 Resultaträkning'!$K18/'2.1 Resultaträkning'!$C18)^(1/8)-1)</f>
        <v>-1.2409752881644698E-2</v>
      </c>
      <c r="D12" s="34">
        <f>(('2.1 Resultaträkning'!$K18/'2.1 Resultaträkning'!$C18)^(1/8)-1)</f>
        <v>-1.2409752881644698E-2</v>
      </c>
      <c r="E12" s="34">
        <f>(('2.1 Resultaträkning'!$K18/'2.1 Resultaträkning'!$C18)^(1/8)-1)</f>
        <v>-1.2409752881644698E-2</v>
      </c>
      <c r="F12" s="34">
        <f>(('2.1 Resultaträkning'!$K18/'2.1 Resultaträkning'!$C18)^(1/8)-1)</f>
        <v>-1.2409752881644698E-2</v>
      </c>
      <c r="G12" s="34">
        <f>(('2.1 Resultaträkning'!$K18/'2.1 Resultaträkning'!$C18)^(1/8)-1)</f>
        <v>-1.2409752881644698E-2</v>
      </c>
      <c r="H12" s="34">
        <f>(('2.1 Resultaträkning'!$K18/'2.1 Resultaträkning'!$C18)^(1/8)-1)</f>
        <v>-1.2409752881644698E-2</v>
      </c>
      <c r="I12" s="34">
        <f>(('2.1 Resultaträkning'!$K18/'2.1 Resultaträkning'!$C18)^(1/8)-1)</f>
        <v>-1.2409752881644698E-2</v>
      </c>
      <c r="J12" s="34">
        <f>(('2.1 Resultaträkning'!$K18/'2.1 Resultaträkning'!$C18)^(1/8)-1)</f>
        <v>-1.2409752881644698E-2</v>
      </c>
      <c r="K12" s="34">
        <f>(('2.1 Resultaträkning'!$K18/'2.1 Resultaträkning'!$C18)^(1/8)-1)</f>
        <v>-1.2409752881644698E-2</v>
      </c>
      <c r="L12" s="34">
        <f>(('2.1 Resultaträkning'!$K18/'2.1 Resultaträkning'!$C18)^(1/8)-1)</f>
        <v>-1.2409752881644698E-2</v>
      </c>
      <c r="M12" s="34">
        <f>(('2.1 Resultaträkning'!$K18/'2.1 Resultaträkning'!$C18)^(1/8)-1)</f>
        <v>-1.2409752881644698E-2</v>
      </c>
      <c r="N12" s="34">
        <f>(('2.1 Resultaträkning'!$K18/'2.1 Resultaträkning'!$C18)^(1/8)-1)</f>
        <v>-1.2409752881644698E-2</v>
      </c>
      <c r="O12" s="34">
        <f>(('2.1 Resultaträkning'!$K18/'2.1 Resultaträkning'!$C18)^(1/8)-1)</f>
        <v>-1.2409752881644698E-2</v>
      </c>
    </row>
    <row r="13" spans="1:15" x14ac:dyDescent="0.2">
      <c r="A13" s="37" t="s">
        <v>17</v>
      </c>
      <c r="B13" s="34">
        <v>0</v>
      </c>
      <c r="C13" s="34">
        <v>0.01</v>
      </c>
      <c r="D13" s="34">
        <v>0.01</v>
      </c>
      <c r="E13" s="34">
        <v>0.01</v>
      </c>
      <c r="F13" s="34">
        <v>0.01</v>
      </c>
      <c r="G13" s="34">
        <v>0.01</v>
      </c>
      <c r="H13" s="34">
        <v>0.01</v>
      </c>
      <c r="I13" s="34">
        <v>0.01</v>
      </c>
      <c r="J13" s="34">
        <v>0.01</v>
      </c>
      <c r="K13" s="34">
        <v>0.01</v>
      </c>
      <c r="L13" s="34">
        <v>0.01</v>
      </c>
      <c r="M13" s="34">
        <v>0.01</v>
      </c>
      <c r="N13" s="34">
        <v>0.01</v>
      </c>
      <c r="O13" s="34">
        <v>0.01</v>
      </c>
    </row>
    <row r="14" spans="1:15" x14ac:dyDescent="0.2">
      <c r="A14" s="37" t="s">
        <v>18</v>
      </c>
      <c r="B14" s="34">
        <v>0</v>
      </c>
      <c r="C14" s="34">
        <f>(('2.1 Resultaträkning'!$K20/'2.1 Resultaträkning'!$C20)^(1/8)-1)</f>
        <v>2.0965288930159032E-2</v>
      </c>
      <c r="D14" s="34">
        <f>(('2.1 Resultaträkning'!$K20/'2.1 Resultaträkning'!$C20)^(1/8)-1)</f>
        <v>2.0965288930159032E-2</v>
      </c>
      <c r="E14" s="34">
        <f>(('2.1 Resultaträkning'!$K20/'2.1 Resultaträkning'!$C20)^(1/8)-1)</f>
        <v>2.0965288930159032E-2</v>
      </c>
      <c r="F14" s="34">
        <f>(('2.1 Resultaträkning'!$K20/'2.1 Resultaträkning'!$C20)^(1/8)-1)</f>
        <v>2.0965288930159032E-2</v>
      </c>
      <c r="G14" s="34">
        <f>(('2.1 Resultaträkning'!$K20/'2.1 Resultaträkning'!$C20)^(1/8)-1)</f>
        <v>2.0965288930159032E-2</v>
      </c>
      <c r="H14" s="34">
        <f>(('2.1 Resultaträkning'!$K20/'2.1 Resultaträkning'!$C20)^(1/8)-1)</f>
        <v>2.0965288930159032E-2</v>
      </c>
      <c r="I14" s="34">
        <f>(('2.1 Resultaträkning'!$K20/'2.1 Resultaträkning'!$C20)^(1/8)-1)</f>
        <v>2.0965288930159032E-2</v>
      </c>
      <c r="J14" s="34">
        <f>(('2.1 Resultaträkning'!$K20/'2.1 Resultaträkning'!$C20)^(1/8)-1)</f>
        <v>2.0965288930159032E-2</v>
      </c>
      <c r="K14" s="34">
        <f>(('2.1 Resultaträkning'!$K20/'2.1 Resultaträkning'!$C20)^(1/8)-1)</f>
        <v>2.0965288930159032E-2</v>
      </c>
      <c r="L14" s="34">
        <f>(('2.1 Resultaträkning'!$K20/'2.1 Resultaträkning'!$C20)^(1/8)-1)</f>
        <v>2.0965288930159032E-2</v>
      </c>
      <c r="M14" s="34">
        <f>(('2.1 Resultaträkning'!$K20/'2.1 Resultaträkning'!$C20)^(1/8)-1)</f>
        <v>2.0965288930159032E-2</v>
      </c>
      <c r="N14" s="34">
        <f>(('2.1 Resultaträkning'!$K20/'2.1 Resultaträkning'!$C20)^(1/8)-1)</f>
        <v>2.0965288930159032E-2</v>
      </c>
      <c r="O14" s="34">
        <f>(('2.1 Resultaträkning'!$K20/'2.1 Resultaträkning'!$C20)^(1/8)-1)</f>
        <v>2.0965288930159032E-2</v>
      </c>
    </row>
    <row r="15" spans="1:15" x14ac:dyDescent="0.2">
      <c r="A15" s="37" t="s">
        <v>19</v>
      </c>
      <c r="B15" s="34">
        <v>0</v>
      </c>
      <c r="C15" s="34">
        <f>(('2.1 Resultaträkning'!$K21/'2.1 Resultaträkning'!$C21)^(1/8)-1)</f>
        <v>7.1475974842842627E-2</v>
      </c>
      <c r="D15" s="34">
        <f>(('2.1 Resultaträkning'!$K21/'2.1 Resultaträkning'!$C21)^(1/8)-1)</f>
        <v>7.1475974842842627E-2</v>
      </c>
      <c r="E15" s="34">
        <f>(('2.1 Resultaträkning'!$K21/'2.1 Resultaträkning'!$C21)^(1/8)-1)</f>
        <v>7.1475974842842627E-2</v>
      </c>
      <c r="F15" s="34">
        <f>(('2.1 Resultaträkning'!$K21/'2.1 Resultaträkning'!$C21)^(1/8)-1)</f>
        <v>7.1475974842842627E-2</v>
      </c>
      <c r="G15" s="34">
        <f>(('2.1 Resultaträkning'!$K21/'2.1 Resultaträkning'!$C21)^(1/8)-1)</f>
        <v>7.1475974842842627E-2</v>
      </c>
      <c r="H15" s="34">
        <f>(('2.1 Resultaträkning'!$K21/'2.1 Resultaträkning'!$C21)^(1/8)-1)</f>
        <v>7.1475974842842627E-2</v>
      </c>
      <c r="I15" s="34">
        <f>(('2.1 Resultaträkning'!$K21/'2.1 Resultaträkning'!$C21)^(1/8)-1)</f>
        <v>7.1475974842842627E-2</v>
      </c>
      <c r="J15" s="34">
        <f>(('2.1 Resultaträkning'!$K21/'2.1 Resultaträkning'!$C21)^(1/8)-1)</f>
        <v>7.1475974842842627E-2</v>
      </c>
      <c r="K15" s="34">
        <f>(('2.1 Resultaträkning'!$K21/'2.1 Resultaträkning'!$C21)^(1/8)-1)</f>
        <v>7.1475974842842627E-2</v>
      </c>
      <c r="L15" s="34">
        <f>(('2.1 Resultaträkning'!$K21/'2.1 Resultaträkning'!$C21)^(1/8)-1)</f>
        <v>7.1475974842842627E-2</v>
      </c>
      <c r="M15" s="34">
        <f>(('2.1 Resultaträkning'!$K21/'2.1 Resultaträkning'!$C21)^(1/8)-1)</f>
        <v>7.1475974842842627E-2</v>
      </c>
      <c r="N15" s="34">
        <f>(('2.1 Resultaträkning'!$K21/'2.1 Resultaträkning'!$C21)^(1/8)-1)</f>
        <v>7.1475974842842627E-2</v>
      </c>
      <c r="O15" s="34">
        <f>(('2.1 Resultaträkning'!$K21/'2.1 Resultaträkning'!$C21)^(1/8)-1)</f>
        <v>7.1475974842842627E-2</v>
      </c>
    </row>
    <row r="16" spans="1:15" x14ac:dyDescent="0.2">
      <c r="A16" s="37" t="s">
        <v>20</v>
      </c>
      <c r="B16" s="34">
        <v>0</v>
      </c>
      <c r="C16" s="34">
        <v>0.01</v>
      </c>
      <c r="D16" s="34">
        <v>0.01</v>
      </c>
      <c r="E16" s="34">
        <v>0.01</v>
      </c>
      <c r="F16" s="34">
        <v>-0.4</v>
      </c>
      <c r="G16" s="34">
        <v>0.01</v>
      </c>
      <c r="H16" s="34">
        <v>0.01</v>
      </c>
      <c r="I16" s="34">
        <v>0.01</v>
      </c>
      <c r="J16" s="34">
        <v>0.01</v>
      </c>
      <c r="K16" s="34">
        <v>0.02</v>
      </c>
      <c r="L16" s="34">
        <v>0.02</v>
      </c>
      <c r="M16" s="34">
        <v>0.02</v>
      </c>
      <c r="N16" s="34">
        <v>0.02</v>
      </c>
      <c r="O16" s="34">
        <v>0.02</v>
      </c>
    </row>
    <row r="17" spans="1:15" x14ac:dyDescent="0.2">
      <c r="A17" s="37" t="s">
        <v>21</v>
      </c>
      <c r="B17" s="34">
        <v>0</v>
      </c>
      <c r="C17" s="34">
        <f>(('2.1 Resultaträkning'!$K23/'2.1 Resultaträkning'!$C23)^(1/8)-1)</f>
        <v>1.8382282137488604E-2</v>
      </c>
      <c r="D17" s="34">
        <f>(('2.1 Resultaträkning'!$K23/'2.1 Resultaträkning'!$C23)^(1/8)-1)</f>
        <v>1.8382282137488604E-2</v>
      </c>
      <c r="E17" s="34">
        <f>(('2.1 Resultaträkning'!$K23/'2.1 Resultaträkning'!$C23)^(1/8)-1)</f>
        <v>1.8382282137488604E-2</v>
      </c>
      <c r="F17" s="34">
        <f>(('2.1 Resultaträkning'!$K23/'2.1 Resultaträkning'!$C23)^(1/8)-1)</f>
        <v>1.8382282137488604E-2</v>
      </c>
      <c r="G17" s="34">
        <f>(('2.1 Resultaträkning'!$K23/'2.1 Resultaträkning'!$C23)^(1/8)-1)</f>
        <v>1.8382282137488604E-2</v>
      </c>
      <c r="H17" s="34">
        <f>(('2.1 Resultaträkning'!$K23/'2.1 Resultaträkning'!$C23)^(1/8)-1)</f>
        <v>1.8382282137488604E-2</v>
      </c>
      <c r="I17" s="34">
        <f>(('2.1 Resultaträkning'!$K23/'2.1 Resultaträkning'!$C23)^(1/8)-1)</f>
        <v>1.8382282137488604E-2</v>
      </c>
      <c r="J17" s="34">
        <f>(('2.1 Resultaträkning'!$K23/'2.1 Resultaträkning'!$C23)^(1/8)-1)</f>
        <v>1.8382282137488604E-2</v>
      </c>
      <c r="K17" s="34">
        <f>(('2.1 Resultaträkning'!$K23/'2.1 Resultaträkning'!$C23)^(1/8)-1)</f>
        <v>1.8382282137488604E-2</v>
      </c>
      <c r="L17" s="34">
        <f>(('2.1 Resultaträkning'!$K23/'2.1 Resultaträkning'!$C23)^(1/8)-1)</f>
        <v>1.8382282137488604E-2</v>
      </c>
      <c r="M17" s="34">
        <f>(('2.1 Resultaträkning'!$K23/'2.1 Resultaträkning'!$C23)^(1/8)-1)</f>
        <v>1.8382282137488604E-2</v>
      </c>
      <c r="N17" s="34">
        <f>(('2.1 Resultaträkning'!$K23/'2.1 Resultaträkning'!$C23)^(1/8)-1)</f>
        <v>1.8382282137488604E-2</v>
      </c>
      <c r="O17" s="34">
        <f>(('2.1 Resultaträkning'!$K23/'2.1 Resultaträkning'!$C23)^(1/8)-1)</f>
        <v>1.8382282137488604E-2</v>
      </c>
    </row>
    <row r="18" spans="1:15" x14ac:dyDescent="0.2">
      <c r="A18" s="37" t="s">
        <v>22</v>
      </c>
      <c r="B18" s="34">
        <v>0</v>
      </c>
      <c r="C18" s="34">
        <v>0.02</v>
      </c>
      <c r="D18" s="34">
        <v>0.02</v>
      </c>
      <c r="E18" s="34">
        <v>0.02</v>
      </c>
      <c r="F18" s="34">
        <v>0.02</v>
      </c>
      <c r="G18" s="34">
        <v>0.02</v>
      </c>
      <c r="H18" s="34">
        <v>0.02</v>
      </c>
      <c r="I18" s="34">
        <v>0.02</v>
      </c>
      <c r="J18" s="34">
        <v>0.02</v>
      </c>
      <c r="K18" s="34">
        <v>0.02</v>
      </c>
      <c r="L18" s="34">
        <v>0.02</v>
      </c>
      <c r="M18" s="34">
        <v>0.02</v>
      </c>
      <c r="N18" s="34">
        <v>0.02</v>
      </c>
      <c r="O18" s="34">
        <v>0.02</v>
      </c>
    </row>
    <row r="19" spans="1:15" x14ac:dyDescent="0.2">
      <c r="A19" s="37" t="s">
        <v>23</v>
      </c>
      <c r="B19" s="34">
        <v>0</v>
      </c>
      <c r="C19" s="34">
        <v>0.02</v>
      </c>
      <c r="D19" s="34">
        <v>0.02</v>
      </c>
      <c r="E19" s="34">
        <v>0.02</v>
      </c>
      <c r="F19" s="34">
        <v>0.02</v>
      </c>
      <c r="G19" s="34">
        <v>0.02</v>
      </c>
      <c r="H19" s="34">
        <v>0.02</v>
      </c>
      <c r="I19" s="34">
        <v>0.02</v>
      </c>
      <c r="J19" s="34">
        <v>0.02</v>
      </c>
      <c r="K19" s="34">
        <v>0.02</v>
      </c>
      <c r="L19" s="34">
        <v>0.02</v>
      </c>
      <c r="M19" s="34">
        <v>0.02</v>
      </c>
      <c r="N19" s="34">
        <v>0.02</v>
      </c>
      <c r="O19" s="34">
        <v>0.02</v>
      </c>
    </row>
    <row r="20" spans="1:15" x14ac:dyDescent="0.2">
      <c r="A20" s="37" t="s">
        <v>24</v>
      </c>
      <c r="B20" s="34">
        <v>0</v>
      </c>
      <c r="C20" s="34">
        <v>0.02</v>
      </c>
      <c r="D20" s="34">
        <v>0.02</v>
      </c>
      <c r="E20" s="34">
        <v>0.02</v>
      </c>
      <c r="F20" s="34">
        <v>0.02</v>
      </c>
      <c r="G20" s="34">
        <v>0.02</v>
      </c>
      <c r="H20" s="34">
        <v>0.02</v>
      </c>
      <c r="I20" s="34">
        <v>0.02</v>
      </c>
      <c r="J20" s="34">
        <v>0.02</v>
      </c>
      <c r="K20" s="34">
        <v>0.02</v>
      </c>
      <c r="L20" s="34">
        <v>0.02</v>
      </c>
      <c r="M20" s="34">
        <v>0.02</v>
      </c>
      <c r="N20" s="34">
        <v>0.02</v>
      </c>
      <c r="O20" s="34">
        <v>0.02</v>
      </c>
    </row>
    <row r="21" spans="1:15" x14ac:dyDescent="0.2">
      <c r="A21" s="37" t="s">
        <v>25</v>
      </c>
      <c r="B21" s="34">
        <v>0</v>
      </c>
      <c r="C21" s="34">
        <f>(('2.1 Resultaträkning'!$K27/'2.1 Resultaträkning'!$C27)^(1/8)-1)</f>
        <v>4.1644222967371913E-3</v>
      </c>
      <c r="D21" s="34">
        <f>(('2.1 Resultaträkning'!$K27/'2.1 Resultaträkning'!$C27)^(1/8)-1)</f>
        <v>4.1644222967371913E-3</v>
      </c>
      <c r="E21" s="34">
        <f>(('2.1 Resultaträkning'!$K27/'2.1 Resultaträkning'!$C27)^(1/8)-1)</f>
        <v>4.1644222967371913E-3</v>
      </c>
      <c r="F21" s="34">
        <f>(('2.1 Resultaträkning'!$K27/'2.1 Resultaträkning'!$C27)^(1/8)-1)</f>
        <v>4.1644222967371913E-3</v>
      </c>
      <c r="G21" s="34">
        <f>(('2.1 Resultaträkning'!$K27/'2.1 Resultaträkning'!$C27)^(1/8)-1)</f>
        <v>4.1644222967371913E-3</v>
      </c>
      <c r="H21" s="34">
        <f>(('2.1 Resultaträkning'!$K27/'2.1 Resultaträkning'!$C27)^(1/8)-1)</f>
        <v>4.1644222967371913E-3</v>
      </c>
      <c r="I21" s="34">
        <f>(('2.1 Resultaträkning'!$K27/'2.1 Resultaträkning'!$C27)^(1/8)-1)</f>
        <v>4.1644222967371913E-3</v>
      </c>
      <c r="J21" s="34">
        <f>(('2.1 Resultaträkning'!$K27/'2.1 Resultaträkning'!$C27)^(1/8)-1)</f>
        <v>4.1644222967371913E-3</v>
      </c>
      <c r="K21" s="34">
        <f>(('2.1 Resultaträkning'!$K27/'2.1 Resultaträkning'!$C27)^(1/8)-1)</f>
        <v>4.1644222967371913E-3</v>
      </c>
      <c r="L21" s="34">
        <f>(('2.1 Resultaträkning'!$K27/'2.1 Resultaträkning'!$C27)^(1/8)-1)</f>
        <v>4.1644222967371913E-3</v>
      </c>
      <c r="M21" s="34">
        <f>(('2.1 Resultaträkning'!$K27/'2.1 Resultaträkning'!$C27)^(1/8)-1)</f>
        <v>4.1644222967371913E-3</v>
      </c>
      <c r="N21" s="34">
        <f>(('2.1 Resultaträkning'!$K27/'2.1 Resultaträkning'!$C27)^(1/8)-1)</f>
        <v>4.1644222967371913E-3</v>
      </c>
      <c r="O21" s="34">
        <f>(('2.1 Resultaträkning'!$K27/'2.1 Resultaträkning'!$C27)^(1/8)-1)</f>
        <v>4.1644222967371913E-3</v>
      </c>
    </row>
    <row r="22" spans="1:15" x14ac:dyDescent="0.2">
      <c r="A22" s="10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</row>
    <row r="23" spans="1:15" x14ac:dyDescent="0.2">
      <c r="A23" s="12" t="s">
        <v>93</v>
      </c>
    </row>
    <row r="24" spans="1:15" x14ac:dyDescent="0.2">
      <c r="A24" s="10" t="s">
        <v>31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</row>
    <row r="25" spans="1:15" x14ac:dyDescent="0.2">
      <c r="A25" s="10"/>
    </row>
    <row r="26" spans="1:15" x14ac:dyDescent="0.2">
      <c r="A26" s="10" t="s">
        <v>94</v>
      </c>
      <c r="B26" s="34">
        <v>1.2999999999999999E-2</v>
      </c>
      <c r="C26" s="34">
        <v>1.2999999999999999E-2</v>
      </c>
      <c r="D26" s="34">
        <f>+C26+0.001</f>
        <v>1.3999999999999999E-2</v>
      </c>
      <c r="E26" s="34">
        <f t="shared" ref="E26:O26" si="0">+D26+0.001</f>
        <v>1.4999999999999999E-2</v>
      </c>
      <c r="F26" s="34">
        <f t="shared" si="0"/>
        <v>1.6E-2</v>
      </c>
      <c r="G26" s="34">
        <f t="shared" si="0"/>
        <v>1.7000000000000001E-2</v>
      </c>
      <c r="H26" s="34">
        <f t="shared" si="0"/>
        <v>1.8000000000000002E-2</v>
      </c>
      <c r="I26" s="34">
        <f t="shared" si="0"/>
        <v>1.9000000000000003E-2</v>
      </c>
      <c r="J26" s="34">
        <f t="shared" si="0"/>
        <v>2.0000000000000004E-2</v>
      </c>
      <c r="K26" s="34">
        <f t="shared" si="0"/>
        <v>2.1000000000000005E-2</v>
      </c>
      <c r="L26" s="34">
        <f t="shared" si="0"/>
        <v>2.2000000000000006E-2</v>
      </c>
      <c r="M26" s="34">
        <f t="shared" si="0"/>
        <v>2.3000000000000007E-2</v>
      </c>
      <c r="N26" s="34">
        <f t="shared" si="0"/>
        <v>2.4000000000000007E-2</v>
      </c>
      <c r="O26" s="34">
        <f t="shared" si="0"/>
        <v>2.5000000000000008E-2</v>
      </c>
    </row>
    <row r="27" spans="1:15" x14ac:dyDescent="0.2">
      <c r="A27" s="9"/>
    </row>
    <row r="28" spans="1:15" ht="15.75" x14ac:dyDescent="0.25">
      <c r="A28" s="23" t="s">
        <v>95</v>
      </c>
    </row>
    <row r="29" spans="1:15" x14ac:dyDescent="0.2">
      <c r="A29" s="10"/>
    </row>
    <row r="30" spans="1:15" x14ac:dyDescent="0.2">
      <c r="A30" s="12" t="s">
        <v>96</v>
      </c>
    </row>
    <row r="31" spans="1:15" x14ac:dyDescent="0.2">
      <c r="A31" s="10" t="s">
        <v>97</v>
      </c>
      <c r="B31" s="34">
        <v>8.3299999999999999E-2</v>
      </c>
      <c r="C31" s="34">
        <v>8.3299999999999999E-2</v>
      </c>
      <c r="D31" s="34">
        <v>8.3299999999999999E-2</v>
      </c>
      <c r="E31" s="34">
        <v>8.3299999999999999E-2</v>
      </c>
      <c r="F31" s="34">
        <v>8.3299999999999999E-2</v>
      </c>
      <c r="G31" s="34">
        <v>8.3299999999999999E-2</v>
      </c>
      <c r="H31" s="34">
        <v>8.3299999999999999E-2</v>
      </c>
      <c r="I31" s="34">
        <v>8.3299999999999999E-2</v>
      </c>
      <c r="J31" s="34">
        <v>8.3299999999999999E-2</v>
      </c>
      <c r="K31" s="34">
        <v>8.3299999999999999E-2</v>
      </c>
      <c r="L31" s="34">
        <v>8.3299999999999999E-2</v>
      </c>
      <c r="M31" s="34">
        <v>8.3299999999999999E-2</v>
      </c>
      <c r="N31" s="34">
        <v>8.3299999999999999E-2</v>
      </c>
      <c r="O31" s="34">
        <v>8.3299999999999999E-2</v>
      </c>
    </row>
    <row r="32" spans="1:15" x14ac:dyDescent="0.2">
      <c r="A32" s="10"/>
    </row>
    <row r="33" spans="1:15" x14ac:dyDescent="0.2">
      <c r="A33" s="10" t="s">
        <v>98</v>
      </c>
      <c r="B33" s="34">
        <v>8.3299999999999999E-2</v>
      </c>
      <c r="C33" s="34">
        <v>8.3299999999999999E-2</v>
      </c>
      <c r="D33" s="34">
        <v>8.3299999999999999E-2</v>
      </c>
      <c r="E33" s="34">
        <v>8.3299999999999999E-2</v>
      </c>
      <c r="F33" s="34">
        <v>8.3299999999999999E-2</v>
      </c>
      <c r="G33" s="34">
        <v>8.3299999999999999E-2</v>
      </c>
      <c r="H33" s="34">
        <v>8.3299999999999999E-2</v>
      </c>
      <c r="I33" s="34">
        <v>8.3299999999999999E-2</v>
      </c>
      <c r="J33" s="34">
        <v>8.3299999999999999E-2</v>
      </c>
      <c r="K33" s="34">
        <v>8.3299999999999999E-2</v>
      </c>
      <c r="L33" s="34">
        <v>8.3299999999999999E-2</v>
      </c>
      <c r="M33" s="34">
        <v>8.3299999999999999E-2</v>
      </c>
      <c r="N33" s="34">
        <v>8.3299999999999999E-2</v>
      </c>
      <c r="O33" s="34">
        <v>8.3299999999999999E-2</v>
      </c>
    </row>
    <row r="34" spans="1:15" x14ac:dyDescent="0.2">
      <c r="A34" s="10"/>
    </row>
    <row r="35" spans="1:15" x14ac:dyDescent="0.2">
      <c r="A35" s="12" t="s">
        <v>99</v>
      </c>
    </row>
    <row r="36" spans="1:15" x14ac:dyDescent="0.2">
      <c r="A36" s="10" t="s">
        <v>100</v>
      </c>
      <c r="B36" s="34">
        <v>0</v>
      </c>
      <c r="C36" s="34">
        <v>0.03</v>
      </c>
      <c r="D36" s="34">
        <v>0.03</v>
      </c>
      <c r="E36" s="34">
        <v>0.02</v>
      </c>
      <c r="F36" s="34">
        <v>0.02</v>
      </c>
      <c r="G36" s="34">
        <v>0.02</v>
      </c>
      <c r="H36" s="34">
        <v>0.03</v>
      </c>
      <c r="I36" s="34">
        <v>0.04</v>
      </c>
      <c r="J36" s="34">
        <v>0.04</v>
      </c>
      <c r="K36" s="34">
        <v>0.04</v>
      </c>
      <c r="L36" s="34">
        <v>0.05</v>
      </c>
      <c r="M36" s="34">
        <v>0.05</v>
      </c>
      <c r="N36" s="34">
        <v>0.05</v>
      </c>
      <c r="O36" s="34">
        <v>0.05</v>
      </c>
    </row>
    <row r="37" spans="1:15" x14ac:dyDescent="0.2">
      <c r="A37" s="9"/>
    </row>
    <row r="38" spans="1:15" ht="38.25" x14ac:dyDescent="0.25">
      <c r="A38" s="23" t="s">
        <v>101</v>
      </c>
      <c r="B38" s="38" t="s">
        <v>115</v>
      </c>
      <c r="C38" s="38" t="s">
        <v>116</v>
      </c>
      <c r="D38" s="38" t="s">
        <v>117</v>
      </c>
      <c r="E38" s="38" t="s">
        <v>119</v>
      </c>
      <c r="F38" s="38" t="s">
        <v>118</v>
      </c>
      <c r="G38" s="39"/>
      <c r="H38" s="38"/>
      <c r="I38" s="38"/>
      <c r="J38" s="40"/>
    </row>
    <row r="39" spans="1:15" x14ac:dyDescent="0.2">
      <c r="B39" s="56">
        <v>36892</v>
      </c>
      <c r="C39" s="57" t="s">
        <v>102</v>
      </c>
      <c r="D39" s="33">
        <v>370000</v>
      </c>
      <c r="E39" s="33">
        <v>15</v>
      </c>
      <c r="F39" s="29">
        <f>+D39/E39</f>
        <v>24666.666666666668</v>
      </c>
      <c r="G39" s="42"/>
      <c r="H39" s="41"/>
      <c r="I39" s="41"/>
      <c r="J39" s="43"/>
    </row>
    <row r="40" spans="1:15" x14ac:dyDescent="0.2">
      <c r="B40" s="56">
        <v>38353</v>
      </c>
      <c r="C40" s="57" t="s">
        <v>103</v>
      </c>
      <c r="D40" s="33">
        <v>327500</v>
      </c>
      <c r="E40" s="33">
        <v>20</v>
      </c>
      <c r="F40" s="29">
        <f t="shared" ref="F40:F53" si="1">+D40/E40</f>
        <v>16375</v>
      </c>
      <c r="G40" s="42"/>
      <c r="H40" s="41"/>
      <c r="I40" s="41"/>
      <c r="J40" s="43"/>
    </row>
    <row r="41" spans="1:15" x14ac:dyDescent="0.2">
      <c r="B41" s="56">
        <v>39326</v>
      </c>
      <c r="C41" s="57" t="s">
        <v>104</v>
      </c>
      <c r="D41" s="33">
        <v>56936</v>
      </c>
      <c r="E41" s="33">
        <v>5</v>
      </c>
      <c r="F41" s="29">
        <f t="shared" si="1"/>
        <v>11387.2</v>
      </c>
      <c r="G41" s="42"/>
      <c r="H41" s="41"/>
      <c r="I41" s="41"/>
      <c r="J41" s="43"/>
    </row>
    <row r="42" spans="1:15" x14ac:dyDescent="0.2">
      <c r="B42" s="56">
        <v>39448</v>
      </c>
      <c r="C42" s="57" t="s">
        <v>105</v>
      </c>
      <c r="D42" s="33">
        <v>125219</v>
      </c>
      <c r="E42" s="33">
        <v>15</v>
      </c>
      <c r="F42" s="29">
        <f t="shared" si="1"/>
        <v>8347.9333333333325</v>
      </c>
      <c r="G42" s="42"/>
      <c r="H42" s="41"/>
      <c r="I42" s="41"/>
      <c r="J42" s="43"/>
    </row>
    <row r="43" spans="1:15" x14ac:dyDescent="0.2">
      <c r="B43" s="56">
        <v>40057</v>
      </c>
      <c r="C43" s="57" t="s">
        <v>106</v>
      </c>
      <c r="D43" s="33">
        <v>650513</v>
      </c>
      <c r="E43" s="33">
        <v>40</v>
      </c>
      <c r="F43" s="29">
        <f t="shared" si="1"/>
        <v>16262.825000000001</v>
      </c>
      <c r="G43" s="42"/>
      <c r="H43" s="41"/>
      <c r="I43" s="41"/>
      <c r="J43" s="43"/>
    </row>
    <row r="44" spans="1:15" x14ac:dyDescent="0.2">
      <c r="B44" s="56">
        <v>40057</v>
      </c>
      <c r="C44" s="57" t="s">
        <v>107</v>
      </c>
      <c r="D44" s="33">
        <v>24499</v>
      </c>
      <c r="E44" s="33">
        <v>5</v>
      </c>
      <c r="F44" s="29">
        <f t="shared" si="1"/>
        <v>4899.8</v>
      </c>
      <c r="G44" s="42"/>
      <c r="H44" s="41"/>
      <c r="I44" s="41"/>
      <c r="J44" s="43"/>
    </row>
    <row r="45" spans="1:15" x14ac:dyDescent="0.2">
      <c r="B45" s="56">
        <v>40513</v>
      </c>
      <c r="C45" s="57" t="s">
        <v>108</v>
      </c>
      <c r="D45" s="33">
        <v>36250</v>
      </c>
      <c r="E45" s="33">
        <v>5</v>
      </c>
      <c r="F45" s="29">
        <f t="shared" si="1"/>
        <v>7250</v>
      </c>
      <c r="G45" s="42"/>
      <c r="H45" s="41"/>
      <c r="I45" s="41"/>
      <c r="J45" s="43"/>
    </row>
    <row r="46" spans="1:15" x14ac:dyDescent="0.2">
      <c r="B46" s="56">
        <v>41609</v>
      </c>
      <c r="C46" s="57" t="s">
        <v>109</v>
      </c>
      <c r="D46" s="33">
        <v>1119545</v>
      </c>
      <c r="E46" s="33">
        <v>40</v>
      </c>
      <c r="F46" s="29">
        <f t="shared" si="1"/>
        <v>27988.625</v>
      </c>
      <c r="G46" s="42"/>
      <c r="H46" s="41"/>
      <c r="I46" s="41"/>
      <c r="J46" s="43"/>
    </row>
    <row r="47" spans="1:15" x14ac:dyDescent="0.2">
      <c r="B47" s="56">
        <v>41640</v>
      </c>
      <c r="C47" s="57" t="s">
        <v>110</v>
      </c>
      <c r="D47" s="33">
        <v>125225</v>
      </c>
      <c r="E47" s="33">
        <v>5</v>
      </c>
      <c r="F47" s="29">
        <f t="shared" si="1"/>
        <v>25045</v>
      </c>
      <c r="G47" s="42"/>
      <c r="H47" s="41"/>
      <c r="I47" s="44"/>
      <c r="J47" s="43"/>
    </row>
    <row r="48" spans="1:15" x14ac:dyDescent="0.2">
      <c r="B48" s="56">
        <v>42217</v>
      </c>
      <c r="C48" s="57" t="s">
        <v>111</v>
      </c>
      <c r="D48" s="33">
        <v>1172064</v>
      </c>
      <c r="E48" s="33">
        <v>40</v>
      </c>
      <c r="F48" s="29">
        <f t="shared" si="1"/>
        <v>29301.599999999999</v>
      </c>
      <c r="G48" s="42"/>
      <c r="H48" s="41"/>
      <c r="I48" s="41"/>
      <c r="J48" s="43"/>
    </row>
    <row r="49" spans="1:17" x14ac:dyDescent="0.2">
      <c r="B49" s="56">
        <v>42339</v>
      </c>
      <c r="C49" s="57" t="s">
        <v>112</v>
      </c>
      <c r="D49" s="33">
        <v>1227208</v>
      </c>
      <c r="E49" s="33">
        <v>25</v>
      </c>
      <c r="F49" s="29">
        <f>+B81/(25-2)</f>
        <v>42685.217391304344</v>
      </c>
      <c r="G49" s="42"/>
      <c r="H49" s="41"/>
      <c r="I49" s="41"/>
      <c r="J49" s="43"/>
    </row>
    <row r="50" spans="1:17" x14ac:dyDescent="0.2">
      <c r="B50" s="56">
        <v>43070</v>
      </c>
      <c r="C50" s="57" t="s">
        <v>113</v>
      </c>
      <c r="D50" s="33">
        <v>336449</v>
      </c>
      <c r="E50" s="33">
        <v>20</v>
      </c>
      <c r="F50" s="29">
        <f t="shared" si="1"/>
        <v>16822.45</v>
      </c>
      <c r="G50" s="42"/>
      <c r="H50" s="41"/>
      <c r="I50" s="41"/>
      <c r="J50" s="43"/>
    </row>
    <row r="51" spans="1:17" ht="15.75" customHeight="1" x14ac:dyDescent="0.2">
      <c r="B51" s="56">
        <v>43070</v>
      </c>
      <c r="C51" s="57" t="s">
        <v>114</v>
      </c>
      <c r="D51" s="33">
        <v>569932</v>
      </c>
      <c r="E51" s="33">
        <v>30</v>
      </c>
      <c r="F51" s="29">
        <f t="shared" si="1"/>
        <v>18997.733333333334</v>
      </c>
      <c r="G51" s="42"/>
      <c r="H51" s="41"/>
      <c r="I51" s="41"/>
      <c r="J51" s="43"/>
    </row>
    <row r="52" spans="1:17" x14ac:dyDescent="0.2">
      <c r="B52" s="56">
        <v>43282</v>
      </c>
      <c r="C52" s="57" t="s">
        <v>137</v>
      </c>
      <c r="D52" s="33">
        <v>1850777</v>
      </c>
      <c r="E52" s="33">
        <v>40</v>
      </c>
      <c r="F52" s="29">
        <f t="shared" si="1"/>
        <v>46269.425000000003</v>
      </c>
      <c r="G52" s="42"/>
      <c r="H52" s="41"/>
      <c r="I52" s="41"/>
      <c r="J52" s="43"/>
    </row>
    <row r="53" spans="1:17" x14ac:dyDescent="0.2">
      <c r="B53" s="56">
        <v>43922</v>
      </c>
      <c r="C53" s="57" t="s">
        <v>147</v>
      </c>
      <c r="D53" s="33">
        <v>150000</v>
      </c>
      <c r="E53" s="33">
        <v>20</v>
      </c>
      <c r="F53" s="29">
        <f t="shared" si="1"/>
        <v>7500</v>
      </c>
      <c r="G53" s="42"/>
      <c r="H53" s="41"/>
      <c r="I53" s="41"/>
      <c r="J53" s="43"/>
    </row>
    <row r="55" spans="1:17" ht="18" x14ac:dyDescent="0.25">
      <c r="A55" s="35" t="s">
        <v>133</v>
      </c>
    </row>
    <row r="56" spans="1:17" x14ac:dyDescent="0.2">
      <c r="A56" s="10" t="s">
        <v>103</v>
      </c>
      <c r="B56" s="33">
        <f>+B57+B58</f>
        <v>106428</v>
      </c>
      <c r="C56" s="33">
        <f>+C57+C58</f>
        <v>90053</v>
      </c>
      <c r="D56" s="33">
        <f t="shared" ref="D56:N56" si="2">+D57+D58</f>
        <v>73678</v>
      </c>
      <c r="E56" s="33">
        <f t="shared" si="2"/>
        <v>57303</v>
      </c>
      <c r="F56" s="33">
        <f t="shared" si="2"/>
        <v>40928</v>
      </c>
      <c r="G56" s="33">
        <f t="shared" si="2"/>
        <v>24553</v>
      </c>
      <c r="H56" s="33">
        <f t="shared" si="2"/>
        <v>8178</v>
      </c>
      <c r="I56" s="33">
        <f t="shared" si="2"/>
        <v>0</v>
      </c>
      <c r="J56" s="33">
        <f t="shared" si="2"/>
        <v>0</v>
      </c>
      <c r="K56" s="33">
        <f t="shared" si="2"/>
        <v>0</v>
      </c>
      <c r="L56" s="33">
        <f t="shared" si="2"/>
        <v>0</v>
      </c>
      <c r="M56" s="33">
        <f t="shared" si="2"/>
        <v>0</v>
      </c>
      <c r="N56" s="33">
        <f t="shared" si="2"/>
        <v>0</v>
      </c>
      <c r="O56" s="33">
        <f t="shared" ref="O56" si="3">+O57+O58</f>
        <v>0</v>
      </c>
      <c r="P56" s="29"/>
      <c r="Q56" s="29"/>
    </row>
    <row r="57" spans="1:17" x14ac:dyDescent="0.2">
      <c r="A57" s="36" t="s">
        <v>48</v>
      </c>
      <c r="B57" s="29">
        <v>122803</v>
      </c>
      <c r="C57" s="29">
        <f>+B56</f>
        <v>106428</v>
      </c>
      <c r="D57" s="29">
        <f t="shared" ref="D57:O57" si="4">+C56</f>
        <v>90053</v>
      </c>
      <c r="E57" s="29">
        <f t="shared" si="4"/>
        <v>73678</v>
      </c>
      <c r="F57" s="29">
        <f t="shared" si="4"/>
        <v>57303</v>
      </c>
      <c r="G57" s="29">
        <f t="shared" si="4"/>
        <v>40928</v>
      </c>
      <c r="H57" s="29">
        <f t="shared" si="4"/>
        <v>24553</v>
      </c>
      <c r="I57" s="29">
        <f t="shared" si="4"/>
        <v>8178</v>
      </c>
      <c r="J57" s="29">
        <f t="shared" si="4"/>
        <v>0</v>
      </c>
      <c r="K57" s="29">
        <f t="shared" si="4"/>
        <v>0</v>
      </c>
      <c r="L57" s="29">
        <f t="shared" si="4"/>
        <v>0</v>
      </c>
      <c r="M57" s="29">
        <f t="shared" si="4"/>
        <v>0</v>
      </c>
      <c r="N57" s="29">
        <f t="shared" si="4"/>
        <v>0</v>
      </c>
      <c r="O57" s="29">
        <f t="shared" si="4"/>
        <v>0</v>
      </c>
      <c r="P57" s="29"/>
      <c r="Q57" s="29"/>
    </row>
    <row r="58" spans="1:17" x14ac:dyDescent="0.2">
      <c r="A58" s="37" t="s">
        <v>49</v>
      </c>
      <c r="B58" s="29">
        <f>-F40</f>
        <v>-16375</v>
      </c>
      <c r="C58" s="29">
        <f>+IF(C57&gt;-B58,-$F40,-C57)</f>
        <v>-16375</v>
      </c>
      <c r="D58" s="29">
        <f t="shared" ref="D58:O58" si="5">+IF(D57&gt;-C58,-$F$40,-D57)</f>
        <v>-16375</v>
      </c>
      <c r="E58" s="29">
        <f t="shared" si="5"/>
        <v>-16375</v>
      </c>
      <c r="F58" s="29">
        <f t="shared" si="5"/>
        <v>-16375</v>
      </c>
      <c r="G58" s="29">
        <f t="shared" si="5"/>
        <v>-16375</v>
      </c>
      <c r="H58" s="29">
        <f t="shared" si="5"/>
        <v>-16375</v>
      </c>
      <c r="I58" s="29">
        <f t="shared" si="5"/>
        <v>-8178</v>
      </c>
      <c r="J58" s="29">
        <f t="shared" si="5"/>
        <v>0</v>
      </c>
      <c r="K58" s="29">
        <f t="shared" si="5"/>
        <v>0</v>
      </c>
      <c r="L58" s="29">
        <f t="shared" si="5"/>
        <v>0</v>
      </c>
      <c r="M58" s="29">
        <f t="shared" si="5"/>
        <v>0</v>
      </c>
      <c r="N58" s="29">
        <f t="shared" si="5"/>
        <v>0</v>
      </c>
      <c r="O58" s="29">
        <f t="shared" si="5"/>
        <v>0</v>
      </c>
      <c r="P58" s="29"/>
      <c r="Q58" s="29"/>
    </row>
    <row r="59" spans="1:17" x14ac:dyDescent="0.2">
      <c r="A59" s="10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7" x14ac:dyDescent="0.2">
      <c r="A60" s="10" t="s">
        <v>105</v>
      </c>
      <c r="B60" s="33">
        <f>+B61+B62</f>
        <v>33383.066666666666</v>
      </c>
      <c r="C60" s="33">
        <f>+C61+C62</f>
        <v>25035.133333333331</v>
      </c>
      <c r="D60" s="33">
        <f t="shared" ref="D60:N60" si="6">+D61+D62</f>
        <v>16687.199999999997</v>
      </c>
      <c r="E60" s="33">
        <f t="shared" si="6"/>
        <v>8339.2666666666646</v>
      </c>
      <c r="F60" s="33">
        <f t="shared" si="6"/>
        <v>0</v>
      </c>
      <c r="G60" s="33">
        <f t="shared" si="6"/>
        <v>0</v>
      </c>
      <c r="H60" s="33">
        <f t="shared" si="6"/>
        <v>0</v>
      </c>
      <c r="I60" s="33">
        <f t="shared" si="6"/>
        <v>0</v>
      </c>
      <c r="J60" s="33">
        <f t="shared" si="6"/>
        <v>0</v>
      </c>
      <c r="K60" s="33">
        <f t="shared" si="6"/>
        <v>0</v>
      </c>
      <c r="L60" s="33">
        <f t="shared" si="6"/>
        <v>0</v>
      </c>
      <c r="M60" s="33">
        <f t="shared" si="6"/>
        <v>0</v>
      </c>
      <c r="N60" s="33">
        <f t="shared" si="6"/>
        <v>0</v>
      </c>
      <c r="O60" s="33">
        <f t="shared" ref="O60" si="7">+O61+O62</f>
        <v>0</v>
      </c>
      <c r="P60" s="29"/>
      <c r="Q60" s="29"/>
    </row>
    <row r="61" spans="1:17" x14ac:dyDescent="0.2">
      <c r="A61" s="36" t="s">
        <v>48</v>
      </c>
      <c r="B61" s="29">
        <v>41731</v>
      </c>
      <c r="C61" s="29">
        <f>+B60</f>
        <v>33383.066666666666</v>
      </c>
      <c r="D61" s="29">
        <f t="shared" ref="D61:O61" si="8">+C60</f>
        <v>25035.133333333331</v>
      </c>
      <c r="E61" s="29">
        <f t="shared" si="8"/>
        <v>16687.199999999997</v>
      </c>
      <c r="F61" s="29">
        <f t="shared" si="8"/>
        <v>8339.2666666666646</v>
      </c>
      <c r="G61" s="29">
        <f t="shared" si="8"/>
        <v>0</v>
      </c>
      <c r="H61" s="29">
        <f t="shared" si="8"/>
        <v>0</v>
      </c>
      <c r="I61" s="29">
        <f t="shared" si="8"/>
        <v>0</v>
      </c>
      <c r="J61" s="29">
        <f t="shared" si="8"/>
        <v>0</v>
      </c>
      <c r="K61" s="29">
        <f t="shared" si="8"/>
        <v>0</v>
      </c>
      <c r="L61" s="29">
        <f t="shared" si="8"/>
        <v>0</v>
      </c>
      <c r="M61" s="29">
        <f t="shared" si="8"/>
        <v>0</v>
      </c>
      <c r="N61" s="29">
        <f t="shared" si="8"/>
        <v>0</v>
      </c>
      <c r="O61" s="29">
        <f t="shared" si="8"/>
        <v>0</v>
      </c>
      <c r="P61" s="29"/>
      <c r="Q61" s="29"/>
    </row>
    <row r="62" spans="1:17" x14ac:dyDescent="0.2">
      <c r="A62" s="37" t="s">
        <v>49</v>
      </c>
      <c r="B62" s="29">
        <f>-F42</f>
        <v>-8347.9333333333325</v>
      </c>
      <c r="C62" s="29">
        <f t="shared" ref="C62:O62" si="9">+IF(C61&gt;-B62,-$F$42,-C61)</f>
        <v>-8347.9333333333325</v>
      </c>
      <c r="D62" s="29">
        <f t="shared" si="9"/>
        <v>-8347.9333333333325</v>
      </c>
      <c r="E62" s="29">
        <f t="shared" si="9"/>
        <v>-8347.9333333333325</v>
      </c>
      <c r="F62" s="29">
        <f t="shared" si="9"/>
        <v>-8339.2666666666646</v>
      </c>
      <c r="G62" s="29">
        <f t="shared" si="9"/>
        <v>0</v>
      </c>
      <c r="H62" s="29">
        <f t="shared" si="9"/>
        <v>0</v>
      </c>
      <c r="I62" s="29">
        <f t="shared" si="9"/>
        <v>0</v>
      </c>
      <c r="J62" s="29">
        <f t="shared" si="9"/>
        <v>0</v>
      </c>
      <c r="K62" s="29">
        <f t="shared" si="9"/>
        <v>0</v>
      </c>
      <c r="L62" s="29">
        <f t="shared" si="9"/>
        <v>0</v>
      </c>
      <c r="M62" s="29">
        <f t="shared" si="9"/>
        <v>0</v>
      </c>
      <c r="N62" s="29">
        <f t="shared" si="9"/>
        <v>0</v>
      </c>
      <c r="O62" s="29">
        <f t="shared" si="9"/>
        <v>0</v>
      </c>
      <c r="P62" s="29"/>
      <c r="Q62" s="29"/>
    </row>
    <row r="63" spans="1:17" x14ac:dyDescent="0.2">
      <c r="A63" s="1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 x14ac:dyDescent="0.2">
      <c r="A64" s="10" t="s">
        <v>106</v>
      </c>
      <c r="B64" s="33">
        <f>+B65+B66</f>
        <v>498731.17499999999</v>
      </c>
      <c r="C64" s="33">
        <f>+C65+C66</f>
        <v>482468.35</v>
      </c>
      <c r="D64" s="33">
        <f t="shared" ref="D64:N64" si="10">+D65+D66</f>
        <v>466205.52499999997</v>
      </c>
      <c r="E64" s="33">
        <f t="shared" si="10"/>
        <v>449942.69999999995</v>
      </c>
      <c r="F64" s="33">
        <f t="shared" si="10"/>
        <v>433679.87499999994</v>
      </c>
      <c r="G64" s="33">
        <f t="shared" si="10"/>
        <v>417417.04999999993</v>
      </c>
      <c r="H64" s="33">
        <f t="shared" si="10"/>
        <v>401154.22499999992</v>
      </c>
      <c r="I64" s="33">
        <f t="shared" si="10"/>
        <v>384891.39999999991</v>
      </c>
      <c r="J64" s="33">
        <f t="shared" si="10"/>
        <v>368628.5749999999</v>
      </c>
      <c r="K64" s="33">
        <f t="shared" si="10"/>
        <v>352365.74999999988</v>
      </c>
      <c r="L64" s="33">
        <f t="shared" si="10"/>
        <v>336102.92499999987</v>
      </c>
      <c r="M64" s="33">
        <f t="shared" si="10"/>
        <v>319840.09999999986</v>
      </c>
      <c r="N64" s="33">
        <f t="shared" si="10"/>
        <v>303577.27499999985</v>
      </c>
      <c r="O64" s="33">
        <f t="shared" ref="O64" si="11">+O65+O66</f>
        <v>287314.44999999984</v>
      </c>
      <c r="P64" s="29"/>
      <c r="Q64" s="29"/>
    </row>
    <row r="65" spans="1:17" x14ac:dyDescent="0.2">
      <c r="A65" s="36" t="s">
        <v>48</v>
      </c>
      <c r="B65" s="29">
        <v>514994</v>
      </c>
      <c r="C65" s="29">
        <f>+B64</f>
        <v>498731.17499999999</v>
      </c>
      <c r="D65" s="29">
        <f t="shared" ref="D65:O65" si="12">+C64</f>
        <v>482468.35</v>
      </c>
      <c r="E65" s="29">
        <f t="shared" si="12"/>
        <v>466205.52499999997</v>
      </c>
      <c r="F65" s="29">
        <f t="shared" si="12"/>
        <v>449942.69999999995</v>
      </c>
      <c r="G65" s="29">
        <f t="shared" si="12"/>
        <v>433679.87499999994</v>
      </c>
      <c r="H65" s="29">
        <f t="shared" si="12"/>
        <v>417417.04999999993</v>
      </c>
      <c r="I65" s="29">
        <f t="shared" si="12"/>
        <v>401154.22499999992</v>
      </c>
      <c r="J65" s="29">
        <f t="shared" si="12"/>
        <v>384891.39999999991</v>
      </c>
      <c r="K65" s="29">
        <f t="shared" si="12"/>
        <v>368628.5749999999</v>
      </c>
      <c r="L65" s="29">
        <f t="shared" si="12"/>
        <v>352365.74999999988</v>
      </c>
      <c r="M65" s="29">
        <f t="shared" si="12"/>
        <v>336102.92499999987</v>
      </c>
      <c r="N65" s="29">
        <f t="shared" si="12"/>
        <v>319840.09999999986</v>
      </c>
      <c r="O65" s="29">
        <f t="shared" si="12"/>
        <v>303577.27499999985</v>
      </c>
      <c r="P65" s="29"/>
      <c r="Q65" s="29"/>
    </row>
    <row r="66" spans="1:17" x14ac:dyDescent="0.2">
      <c r="A66" s="37" t="s">
        <v>49</v>
      </c>
      <c r="B66" s="29">
        <f>-F43</f>
        <v>-16262.825000000001</v>
      </c>
      <c r="C66" s="29">
        <f t="shared" ref="C66:O66" si="13">+IF(C65&gt;-B66,-$F$43,-C65)</f>
        <v>-16262.825000000001</v>
      </c>
      <c r="D66" s="29">
        <f t="shared" si="13"/>
        <v>-16262.825000000001</v>
      </c>
      <c r="E66" s="29">
        <f t="shared" si="13"/>
        <v>-16262.825000000001</v>
      </c>
      <c r="F66" s="29">
        <f t="shared" si="13"/>
        <v>-16262.825000000001</v>
      </c>
      <c r="G66" s="29">
        <f t="shared" si="13"/>
        <v>-16262.825000000001</v>
      </c>
      <c r="H66" s="29">
        <f t="shared" si="13"/>
        <v>-16262.825000000001</v>
      </c>
      <c r="I66" s="29">
        <f t="shared" si="13"/>
        <v>-16262.825000000001</v>
      </c>
      <c r="J66" s="29">
        <f t="shared" si="13"/>
        <v>-16262.825000000001</v>
      </c>
      <c r="K66" s="29">
        <f t="shared" si="13"/>
        <v>-16262.825000000001</v>
      </c>
      <c r="L66" s="29">
        <f t="shared" si="13"/>
        <v>-16262.825000000001</v>
      </c>
      <c r="M66" s="29">
        <f t="shared" si="13"/>
        <v>-16262.825000000001</v>
      </c>
      <c r="N66" s="29">
        <f t="shared" si="13"/>
        <v>-16262.825000000001</v>
      </c>
      <c r="O66" s="29">
        <f t="shared" si="13"/>
        <v>-16262.825000000001</v>
      </c>
      <c r="P66" s="29"/>
      <c r="Q66" s="29"/>
    </row>
    <row r="67" spans="1:17" x14ac:dyDescent="0.2">
      <c r="A67" s="1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x14ac:dyDescent="0.2">
      <c r="A68" s="10" t="s">
        <v>109</v>
      </c>
      <c r="B68" s="33">
        <f>+B69+B70</f>
        <v>979610.375</v>
      </c>
      <c r="C68" s="33">
        <f>+C69+C70</f>
        <v>951621.75</v>
      </c>
      <c r="D68" s="33">
        <f t="shared" ref="D68:N68" si="14">+D69+D70</f>
        <v>923633.125</v>
      </c>
      <c r="E68" s="33">
        <f t="shared" si="14"/>
        <v>895644.5</v>
      </c>
      <c r="F68" s="33">
        <f t="shared" si="14"/>
        <v>867655.875</v>
      </c>
      <c r="G68" s="33">
        <f t="shared" si="14"/>
        <v>839667.25</v>
      </c>
      <c r="H68" s="33">
        <f t="shared" si="14"/>
        <v>811678.625</v>
      </c>
      <c r="I68" s="33">
        <f t="shared" si="14"/>
        <v>783690</v>
      </c>
      <c r="J68" s="33">
        <f t="shared" si="14"/>
        <v>755701.375</v>
      </c>
      <c r="K68" s="33">
        <f t="shared" si="14"/>
        <v>727712.75</v>
      </c>
      <c r="L68" s="33">
        <f t="shared" si="14"/>
        <v>699724.125</v>
      </c>
      <c r="M68" s="33">
        <f t="shared" si="14"/>
        <v>671735.5</v>
      </c>
      <c r="N68" s="33">
        <f t="shared" si="14"/>
        <v>643746.875</v>
      </c>
      <c r="O68" s="33">
        <f t="shared" ref="O68" si="15">+O69+O70</f>
        <v>615758.25</v>
      </c>
      <c r="P68" s="29"/>
      <c r="Q68" s="29"/>
    </row>
    <row r="69" spans="1:17" x14ac:dyDescent="0.2">
      <c r="A69" s="36" t="s">
        <v>48</v>
      </c>
      <c r="B69" s="29">
        <v>1007599</v>
      </c>
      <c r="C69" s="29">
        <f>+B68</f>
        <v>979610.375</v>
      </c>
      <c r="D69" s="29">
        <f t="shared" ref="D69:O69" si="16">+C68</f>
        <v>951621.75</v>
      </c>
      <c r="E69" s="29">
        <f t="shared" si="16"/>
        <v>923633.125</v>
      </c>
      <c r="F69" s="29">
        <f t="shared" si="16"/>
        <v>895644.5</v>
      </c>
      <c r="G69" s="29">
        <f t="shared" si="16"/>
        <v>867655.875</v>
      </c>
      <c r="H69" s="29">
        <f t="shared" si="16"/>
        <v>839667.25</v>
      </c>
      <c r="I69" s="29">
        <f t="shared" si="16"/>
        <v>811678.625</v>
      </c>
      <c r="J69" s="29">
        <f t="shared" si="16"/>
        <v>783690</v>
      </c>
      <c r="K69" s="29">
        <f t="shared" si="16"/>
        <v>755701.375</v>
      </c>
      <c r="L69" s="29">
        <f t="shared" si="16"/>
        <v>727712.75</v>
      </c>
      <c r="M69" s="29">
        <f t="shared" si="16"/>
        <v>699724.125</v>
      </c>
      <c r="N69" s="29">
        <f t="shared" si="16"/>
        <v>671735.5</v>
      </c>
      <c r="O69" s="29">
        <f t="shared" si="16"/>
        <v>643746.875</v>
      </c>
      <c r="P69" s="29"/>
      <c r="Q69" s="29"/>
    </row>
    <row r="70" spans="1:17" x14ac:dyDescent="0.2">
      <c r="A70" s="37" t="s">
        <v>49</v>
      </c>
      <c r="B70" s="29">
        <f>-F46</f>
        <v>-27988.625</v>
      </c>
      <c r="C70" s="29">
        <f t="shared" ref="C70:O70" si="17">+IF(C69&gt;-B70,-$F$46,-C69)</f>
        <v>-27988.625</v>
      </c>
      <c r="D70" s="29">
        <f t="shared" si="17"/>
        <v>-27988.625</v>
      </c>
      <c r="E70" s="29">
        <f t="shared" si="17"/>
        <v>-27988.625</v>
      </c>
      <c r="F70" s="29">
        <f t="shared" si="17"/>
        <v>-27988.625</v>
      </c>
      <c r="G70" s="29">
        <f t="shared" si="17"/>
        <v>-27988.625</v>
      </c>
      <c r="H70" s="29">
        <f t="shared" si="17"/>
        <v>-27988.625</v>
      </c>
      <c r="I70" s="29">
        <f t="shared" si="17"/>
        <v>-27988.625</v>
      </c>
      <c r="J70" s="29">
        <f t="shared" si="17"/>
        <v>-27988.625</v>
      </c>
      <c r="K70" s="29">
        <f t="shared" si="17"/>
        <v>-27988.625</v>
      </c>
      <c r="L70" s="29">
        <f t="shared" si="17"/>
        <v>-27988.625</v>
      </c>
      <c r="M70" s="29">
        <f t="shared" si="17"/>
        <v>-27988.625</v>
      </c>
      <c r="N70" s="29">
        <f t="shared" si="17"/>
        <v>-27988.625</v>
      </c>
      <c r="O70" s="29">
        <f t="shared" si="17"/>
        <v>-27988.625</v>
      </c>
      <c r="P70" s="29"/>
      <c r="Q70" s="29"/>
    </row>
    <row r="71" spans="1:17" x14ac:dyDescent="0.2">
      <c r="A71" s="10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1:17" x14ac:dyDescent="0.2">
      <c r="A72" s="10" t="s">
        <v>110</v>
      </c>
      <c r="B72" s="33">
        <f>+B73+B74</f>
        <v>20873</v>
      </c>
      <c r="C72" s="33">
        <f>+C73+C74</f>
        <v>0</v>
      </c>
      <c r="D72" s="33">
        <f t="shared" ref="D72:N72" si="18">+D73+D74</f>
        <v>0</v>
      </c>
      <c r="E72" s="33">
        <f t="shared" si="18"/>
        <v>0</v>
      </c>
      <c r="F72" s="33">
        <f t="shared" si="18"/>
        <v>0</v>
      </c>
      <c r="G72" s="33">
        <f t="shared" si="18"/>
        <v>0</v>
      </c>
      <c r="H72" s="33">
        <f t="shared" si="18"/>
        <v>0</v>
      </c>
      <c r="I72" s="33">
        <f t="shared" si="18"/>
        <v>0</v>
      </c>
      <c r="J72" s="33">
        <f t="shared" si="18"/>
        <v>0</v>
      </c>
      <c r="K72" s="33">
        <f t="shared" si="18"/>
        <v>0</v>
      </c>
      <c r="L72" s="33">
        <f t="shared" si="18"/>
        <v>0</v>
      </c>
      <c r="M72" s="33">
        <f t="shared" si="18"/>
        <v>0</v>
      </c>
      <c r="N72" s="33">
        <f t="shared" si="18"/>
        <v>0</v>
      </c>
      <c r="O72" s="33">
        <f t="shared" ref="O72" si="19">+O73+O74</f>
        <v>0</v>
      </c>
      <c r="P72" s="29"/>
      <c r="Q72" s="29"/>
    </row>
    <row r="73" spans="1:17" x14ac:dyDescent="0.2">
      <c r="A73" s="36" t="s">
        <v>48</v>
      </c>
      <c r="B73" s="29">
        <v>45918</v>
      </c>
      <c r="C73" s="29">
        <f>+B72</f>
        <v>20873</v>
      </c>
      <c r="D73" s="29">
        <f t="shared" ref="D73:O73" si="20">+C72</f>
        <v>0</v>
      </c>
      <c r="E73" s="29">
        <f t="shared" si="20"/>
        <v>0</v>
      </c>
      <c r="F73" s="29">
        <f t="shared" si="20"/>
        <v>0</v>
      </c>
      <c r="G73" s="29">
        <f t="shared" si="20"/>
        <v>0</v>
      </c>
      <c r="H73" s="29">
        <f t="shared" si="20"/>
        <v>0</v>
      </c>
      <c r="I73" s="29">
        <f t="shared" si="20"/>
        <v>0</v>
      </c>
      <c r="J73" s="29">
        <f t="shared" si="20"/>
        <v>0</v>
      </c>
      <c r="K73" s="29">
        <f t="shared" si="20"/>
        <v>0</v>
      </c>
      <c r="L73" s="29">
        <f t="shared" si="20"/>
        <v>0</v>
      </c>
      <c r="M73" s="29">
        <f t="shared" si="20"/>
        <v>0</v>
      </c>
      <c r="N73" s="29">
        <f t="shared" si="20"/>
        <v>0</v>
      </c>
      <c r="O73" s="29">
        <f t="shared" si="20"/>
        <v>0</v>
      </c>
      <c r="P73" s="29"/>
      <c r="Q73" s="29"/>
    </row>
    <row r="74" spans="1:17" x14ac:dyDescent="0.2">
      <c r="A74" s="37" t="s">
        <v>49</v>
      </c>
      <c r="B74" s="29">
        <f>-F47</f>
        <v>-25045</v>
      </c>
      <c r="C74" s="29">
        <f t="shared" ref="C74:O74" si="21">+IF(C73&gt;-B74,-$F$47,-C73)</f>
        <v>-20873</v>
      </c>
      <c r="D74" s="29">
        <f t="shared" si="21"/>
        <v>0</v>
      </c>
      <c r="E74" s="29">
        <f t="shared" si="21"/>
        <v>0</v>
      </c>
      <c r="F74" s="29">
        <f t="shared" si="21"/>
        <v>0</v>
      </c>
      <c r="G74" s="29">
        <f t="shared" si="21"/>
        <v>0</v>
      </c>
      <c r="H74" s="29">
        <f t="shared" si="21"/>
        <v>0</v>
      </c>
      <c r="I74" s="29">
        <f t="shared" si="21"/>
        <v>0</v>
      </c>
      <c r="J74" s="29">
        <f t="shared" si="21"/>
        <v>0</v>
      </c>
      <c r="K74" s="29">
        <f t="shared" si="21"/>
        <v>0</v>
      </c>
      <c r="L74" s="29">
        <f t="shared" si="21"/>
        <v>0</v>
      </c>
      <c r="M74" s="29">
        <f t="shared" si="21"/>
        <v>0</v>
      </c>
      <c r="N74" s="29">
        <f t="shared" si="21"/>
        <v>0</v>
      </c>
      <c r="O74" s="29">
        <f t="shared" si="21"/>
        <v>0</v>
      </c>
      <c r="P74" s="29"/>
      <c r="Q74" s="29"/>
    </row>
    <row r="75" spans="1:17" x14ac:dyDescent="0.2">
      <c r="A75" s="10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7" x14ac:dyDescent="0.2">
      <c r="A76" s="10" t="s">
        <v>111</v>
      </c>
      <c r="B76" s="33">
        <f>+B77+B78</f>
        <v>1077945.3999999999</v>
      </c>
      <c r="C76" s="33">
        <f>+C77+C78</f>
        <v>1048643.7999999998</v>
      </c>
      <c r="D76" s="33">
        <f t="shared" ref="D76:N76" si="22">+D77+D78</f>
        <v>1019342.1999999998</v>
      </c>
      <c r="E76" s="33">
        <f t="shared" si="22"/>
        <v>990040.59999999986</v>
      </c>
      <c r="F76" s="33">
        <f t="shared" si="22"/>
        <v>960738.99999999988</v>
      </c>
      <c r="G76" s="33">
        <f t="shared" si="22"/>
        <v>931437.39999999991</v>
      </c>
      <c r="H76" s="33">
        <f t="shared" si="22"/>
        <v>902135.79999999993</v>
      </c>
      <c r="I76" s="33">
        <f t="shared" si="22"/>
        <v>872834.2</v>
      </c>
      <c r="J76" s="33">
        <f t="shared" si="22"/>
        <v>843532.6</v>
      </c>
      <c r="K76" s="33">
        <f t="shared" si="22"/>
        <v>814231</v>
      </c>
      <c r="L76" s="33">
        <f t="shared" si="22"/>
        <v>784929.4</v>
      </c>
      <c r="M76" s="33">
        <f t="shared" si="22"/>
        <v>755627.8</v>
      </c>
      <c r="N76" s="33">
        <f t="shared" si="22"/>
        <v>726326.20000000007</v>
      </c>
      <c r="O76" s="33">
        <f t="shared" ref="O76" si="23">+O77+O78</f>
        <v>697024.60000000009</v>
      </c>
      <c r="P76" s="29"/>
      <c r="Q76" s="29"/>
    </row>
    <row r="77" spans="1:17" x14ac:dyDescent="0.2">
      <c r="A77" s="36" t="s">
        <v>48</v>
      </c>
      <c r="B77" s="29">
        <v>1107247</v>
      </c>
      <c r="C77" s="29">
        <f>+B76</f>
        <v>1077945.3999999999</v>
      </c>
      <c r="D77" s="29">
        <f t="shared" ref="D77:O77" si="24">+C76</f>
        <v>1048643.7999999998</v>
      </c>
      <c r="E77" s="29">
        <f t="shared" si="24"/>
        <v>1019342.1999999998</v>
      </c>
      <c r="F77" s="29">
        <f t="shared" si="24"/>
        <v>990040.59999999986</v>
      </c>
      <c r="G77" s="29">
        <f t="shared" si="24"/>
        <v>960738.99999999988</v>
      </c>
      <c r="H77" s="29">
        <f t="shared" si="24"/>
        <v>931437.39999999991</v>
      </c>
      <c r="I77" s="29">
        <f t="shared" si="24"/>
        <v>902135.79999999993</v>
      </c>
      <c r="J77" s="29">
        <f t="shared" si="24"/>
        <v>872834.2</v>
      </c>
      <c r="K77" s="29">
        <f t="shared" si="24"/>
        <v>843532.6</v>
      </c>
      <c r="L77" s="29">
        <f t="shared" si="24"/>
        <v>814231</v>
      </c>
      <c r="M77" s="29">
        <f t="shared" si="24"/>
        <v>784929.4</v>
      </c>
      <c r="N77" s="29">
        <f t="shared" si="24"/>
        <v>755627.8</v>
      </c>
      <c r="O77" s="29">
        <f t="shared" si="24"/>
        <v>726326.20000000007</v>
      </c>
      <c r="P77" s="29"/>
      <c r="Q77" s="29"/>
    </row>
    <row r="78" spans="1:17" x14ac:dyDescent="0.2">
      <c r="A78" s="37" t="s">
        <v>49</v>
      </c>
      <c r="B78" s="29">
        <f>-F48</f>
        <v>-29301.599999999999</v>
      </c>
      <c r="C78" s="29">
        <f t="shared" ref="C78:O78" si="25">+IF(C77&gt;-B78,-$F$48,-C77)</f>
        <v>-29301.599999999999</v>
      </c>
      <c r="D78" s="29">
        <f t="shared" si="25"/>
        <v>-29301.599999999999</v>
      </c>
      <c r="E78" s="29">
        <f t="shared" si="25"/>
        <v>-29301.599999999999</v>
      </c>
      <c r="F78" s="29">
        <f t="shared" si="25"/>
        <v>-29301.599999999999</v>
      </c>
      <c r="G78" s="29">
        <f t="shared" si="25"/>
        <v>-29301.599999999999</v>
      </c>
      <c r="H78" s="29">
        <f t="shared" si="25"/>
        <v>-29301.599999999999</v>
      </c>
      <c r="I78" s="29">
        <f t="shared" si="25"/>
        <v>-29301.599999999999</v>
      </c>
      <c r="J78" s="29">
        <f t="shared" si="25"/>
        <v>-29301.599999999999</v>
      </c>
      <c r="K78" s="29">
        <f t="shared" si="25"/>
        <v>-29301.599999999999</v>
      </c>
      <c r="L78" s="29">
        <f t="shared" si="25"/>
        <v>-29301.599999999999</v>
      </c>
      <c r="M78" s="29">
        <f t="shared" si="25"/>
        <v>-29301.599999999999</v>
      </c>
      <c r="N78" s="29">
        <f t="shared" si="25"/>
        <v>-29301.599999999999</v>
      </c>
      <c r="O78" s="29">
        <f t="shared" si="25"/>
        <v>-29301.599999999999</v>
      </c>
      <c r="P78" s="29"/>
      <c r="Q78" s="29"/>
    </row>
    <row r="79" spans="1:17" x14ac:dyDescent="0.2">
      <c r="A79" s="10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1:17" x14ac:dyDescent="0.2">
      <c r="A80" s="10" t="s">
        <v>112</v>
      </c>
      <c r="B80" s="33">
        <f>+B81+B82</f>
        <v>939074.78260869568</v>
      </c>
      <c r="C80" s="33">
        <f>+C81+C82</f>
        <v>896389.56521739135</v>
      </c>
      <c r="D80" s="33">
        <f t="shared" ref="D80:N80" si="26">+D81+D82</f>
        <v>853704.34782608703</v>
      </c>
      <c r="E80" s="33">
        <f t="shared" si="26"/>
        <v>811019.13043478271</v>
      </c>
      <c r="F80" s="33">
        <f t="shared" si="26"/>
        <v>768333.91304347839</v>
      </c>
      <c r="G80" s="33">
        <f t="shared" si="26"/>
        <v>725648.69565217406</v>
      </c>
      <c r="H80" s="33">
        <f t="shared" si="26"/>
        <v>682963.47826086974</v>
      </c>
      <c r="I80" s="33">
        <f t="shared" si="26"/>
        <v>640278.26086956542</v>
      </c>
      <c r="J80" s="33">
        <f t="shared" si="26"/>
        <v>597593.0434782611</v>
      </c>
      <c r="K80" s="33">
        <f t="shared" si="26"/>
        <v>554907.82608695677</v>
      </c>
      <c r="L80" s="33">
        <f t="shared" si="26"/>
        <v>512222.60869565245</v>
      </c>
      <c r="M80" s="33">
        <f t="shared" si="26"/>
        <v>469537.39130434813</v>
      </c>
      <c r="N80" s="33">
        <f t="shared" si="26"/>
        <v>426852.17391304381</v>
      </c>
      <c r="O80" s="33">
        <f t="shared" ref="O80" si="27">+O81+O82</f>
        <v>384166.95652173948</v>
      </c>
      <c r="P80" s="29"/>
      <c r="Q80" s="29"/>
    </row>
    <row r="81" spans="1:17" x14ac:dyDescent="0.2">
      <c r="A81" s="36" t="s">
        <v>48</v>
      </c>
      <c r="B81" s="29">
        <v>981760</v>
      </c>
      <c r="C81" s="29">
        <f>+B80</f>
        <v>939074.78260869568</v>
      </c>
      <c r="D81" s="29">
        <f t="shared" ref="D81:O81" si="28">+C80</f>
        <v>896389.56521739135</v>
      </c>
      <c r="E81" s="29">
        <f t="shared" si="28"/>
        <v>853704.34782608703</v>
      </c>
      <c r="F81" s="29">
        <f t="shared" si="28"/>
        <v>811019.13043478271</v>
      </c>
      <c r="G81" s="29">
        <f t="shared" si="28"/>
        <v>768333.91304347839</v>
      </c>
      <c r="H81" s="29">
        <f t="shared" si="28"/>
        <v>725648.69565217406</v>
      </c>
      <c r="I81" s="29">
        <f t="shared" si="28"/>
        <v>682963.47826086974</v>
      </c>
      <c r="J81" s="29">
        <f t="shared" si="28"/>
        <v>640278.26086956542</v>
      </c>
      <c r="K81" s="29">
        <f t="shared" si="28"/>
        <v>597593.0434782611</v>
      </c>
      <c r="L81" s="29">
        <f t="shared" si="28"/>
        <v>554907.82608695677</v>
      </c>
      <c r="M81" s="29">
        <f t="shared" si="28"/>
        <v>512222.60869565245</v>
      </c>
      <c r="N81" s="29">
        <f t="shared" si="28"/>
        <v>469537.39130434813</v>
      </c>
      <c r="O81" s="29">
        <f t="shared" si="28"/>
        <v>426852.17391304381</v>
      </c>
      <c r="P81" s="29"/>
      <c r="Q81" s="29"/>
    </row>
    <row r="82" spans="1:17" x14ac:dyDescent="0.2">
      <c r="A82" s="37" t="s">
        <v>49</v>
      </c>
      <c r="B82" s="29">
        <f>-F49</f>
        <v>-42685.217391304344</v>
      </c>
      <c r="C82" s="29">
        <f t="shared" ref="C82:O82" si="29">+IF(C81&gt;-B82,-$F$49,-C81)</f>
        <v>-42685.217391304344</v>
      </c>
      <c r="D82" s="29">
        <f t="shared" si="29"/>
        <v>-42685.217391304344</v>
      </c>
      <c r="E82" s="29">
        <f t="shared" si="29"/>
        <v>-42685.217391304344</v>
      </c>
      <c r="F82" s="29">
        <f t="shared" si="29"/>
        <v>-42685.217391304344</v>
      </c>
      <c r="G82" s="29">
        <f t="shared" si="29"/>
        <v>-42685.217391304344</v>
      </c>
      <c r="H82" s="29">
        <f t="shared" si="29"/>
        <v>-42685.217391304344</v>
      </c>
      <c r="I82" s="29">
        <f t="shared" si="29"/>
        <v>-42685.217391304344</v>
      </c>
      <c r="J82" s="29">
        <f t="shared" si="29"/>
        <v>-42685.217391304344</v>
      </c>
      <c r="K82" s="29">
        <f t="shared" si="29"/>
        <v>-42685.217391304344</v>
      </c>
      <c r="L82" s="29">
        <f t="shared" si="29"/>
        <v>-42685.217391304344</v>
      </c>
      <c r="M82" s="29">
        <f t="shared" si="29"/>
        <v>-42685.217391304344</v>
      </c>
      <c r="N82" s="29">
        <f t="shared" si="29"/>
        <v>-42685.217391304344</v>
      </c>
      <c r="O82" s="29">
        <f t="shared" si="29"/>
        <v>-42685.217391304344</v>
      </c>
      <c r="P82" s="29"/>
      <c r="Q82" s="29"/>
    </row>
    <row r="83" spans="1:17" x14ac:dyDescent="0.2">
      <c r="A83" s="10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1:17" x14ac:dyDescent="0.2">
      <c r="A84" s="10" t="s">
        <v>113</v>
      </c>
      <c r="B84" s="33">
        <f>+B85+B86</f>
        <v>319626.55</v>
      </c>
      <c r="C84" s="33">
        <f>+C85+C86</f>
        <v>302804.09999999998</v>
      </c>
      <c r="D84" s="33">
        <f t="shared" ref="D84:N84" si="30">+D85+D86</f>
        <v>285981.64999999997</v>
      </c>
      <c r="E84" s="33">
        <f t="shared" si="30"/>
        <v>269159.19999999995</v>
      </c>
      <c r="F84" s="33">
        <f t="shared" si="30"/>
        <v>252336.74999999994</v>
      </c>
      <c r="G84" s="33">
        <f t="shared" si="30"/>
        <v>235514.29999999993</v>
      </c>
      <c r="H84" s="33">
        <f t="shared" si="30"/>
        <v>218691.84999999992</v>
      </c>
      <c r="I84" s="33">
        <f t="shared" si="30"/>
        <v>201869.39999999991</v>
      </c>
      <c r="J84" s="33">
        <f t="shared" si="30"/>
        <v>185046.9499999999</v>
      </c>
      <c r="K84" s="33">
        <f t="shared" si="30"/>
        <v>168224.49999999988</v>
      </c>
      <c r="L84" s="33">
        <f t="shared" si="30"/>
        <v>151402.04999999987</v>
      </c>
      <c r="M84" s="33">
        <f t="shared" si="30"/>
        <v>134579.59999999986</v>
      </c>
      <c r="N84" s="33">
        <f t="shared" si="30"/>
        <v>117757.14999999986</v>
      </c>
      <c r="O84" s="33">
        <f t="shared" ref="O84" si="31">+O85+O86</f>
        <v>100934.69999999987</v>
      </c>
      <c r="P84" s="29"/>
      <c r="Q84" s="29"/>
    </row>
    <row r="85" spans="1:17" x14ac:dyDescent="0.2">
      <c r="A85" s="36" t="s">
        <v>48</v>
      </c>
      <c r="B85" s="29">
        <v>336449</v>
      </c>
      <c r="C85" s="29">
        <f>+B84</f>
        <v>319626.55</v>
      </c>
      <c r="D85" s="29">
        <f t="shared" ref="D85:O85" si="32">+C84</f>
        <v>302804.09999999998</v>
      </c>
      <c r="E85" s="29">
        <f t="shared" si="32"/>
        <v>285981.64999999997</v>
      </c>
      <c r="F85" s="29">
        <f t="shared" si="32"/>
        <v>269159.19999999995</v>
      </c>
      <c r="G85" s="29">
        <f t="shared" si="32"/>
        <v>252336.74999999994</v>
      </c>
      <c r="H85" s="29">
        <f t="shared" si="32"/>
        <v>235514.29999999993</v>
      </c>
      <c r="I85" s="29">
        <f t="shared" si="32"/>
        <v>218691.84999999992</v>
      </c>
      <c r="J85" s="29">
        <f t="shared" si="32"/>
        <v>201869.39999999991</v>
      </c>
      <c r="K85" s="29">
        <f t="shared" si="32"/>
        <v>185046.9499999999</v>
      </c>
      <c r="L85" s="29">
        <f t="shared" si="32"/>
        <v>168224.49999999988</v>
      </c>
      <c r="M85" s="29">
        <f t="shared" si="32"/>
        <v>151402.04999999987</v>
      </c>
      <c r="N85" s="29">
        <f t="shared" si="32"/>
        <v>134579.59999999986</v>
      </c>
      <c r="O85" s="29">
        <f t="shared" si="32"/>
        <v>117757.14999999986</v>
      </c>
      <c r="P85" s="29"/>
      <c r="Q85" s="29"/>
    </row>
    <row r="86" spans="1:17" x14ac:dyDescent="0.2">
      <c r="A86" s="37" t="s">
        <v>49</v>
      </c>
      <c r="B86" s="29">
        <f>-F50</f>
        <v>-16822.45</v>
      </c>
      <c r="C86" s="29">
        <f t="shared" ref="C86:O86" si="33">+IF(C85&gt;-B86,-$F$50,-C85)</f>
        <v>-16822.45</v>
      </c>
      <c r="D86" s="29">
        <f t="shared" si="33"/>
        <v>-16822.45</v>
      </c>
      <c r="E86" s="29">
        <f t="shared" si="33"/>
        <v>-16822.45</v>
      </c>
      <c r="F86" s="29">
        <f t="shared" si="33"/>
        <v>-16822.45</v>
      </c>
      <c r="G86" s="29">
        <f t="shared" si="33"/>
        <v>-16822.45</v>
      </c>
      <c r="H86" s="29">
        <f t="shared" si="33"/>
        <v>-16822.45</v>
      </c>
      <c r="I86" s="29">
        <f t="shared" si="33"/>
        <v>-16822.45</v>
      </c>
      <c r="J86" s="29">
        <f t="shared" si="33"/>
        <v>-16822.45</v>
      </c>
      <c r="K86" s="29">
        <f t="shared" si="33"/>
        <v>-16822.45</v>
      </c>
      <c r="L86" s="29">
        <f t="shared" si="33"/>
        <v>-16822.45</v>
      </c>
      <c r="M86" s="29">
        <f t="shared" si="33"/>
        <v>-16822.45</v>
      </c>
      <c r="N86" s="29">
        <f t="shared" si="33"/>
        <v>-16822.45</v>
      </c>
      <c r="O86" s="29">
        <f t="shared" si="33"/>
        <v>-16822.45</v>
      </c>
      <c r="P86" s="29"/>
      <c r="Q86" s="29"/>
    </row>
    <row r="87" spans="1:17" x14ac:dyDescent="0.2">
      <c r="A87" s="10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1:17" x14ac:dyDescent="0.2">
      <c r="A88" s="10" t="s">
        <v>114</v>
      </c>
      <c r="B88" s="33">
        <f>+B89+B90</f>
        <v>565934.26666666672</v>
      </c>
      <c r="C88" s="33">
        <f>+C89+C90</f>
        <v>546936.53333333344</v>
      </c>
      <c r="D88" s="33">
        <f t="shared" ref="D88:N88" si="34">+D89+D90</f>
        <v>527938.80000000016</v>
      </c>
      <c r="E88" s="33">
        <f t="shared" si="34"/>
        <v>508941.06666666683</v>
      </c>
      <c r="F88" s="33">
        <f t="shared" si="34"/>
        <v>489943.33333333349</v>
      </c>
      <c r="G88" s="33">
        <f t="shared" si="34"/>
        <v>470945.60000000015</v>
      </c>
      <c r="H88" s="33">
        <f t="shared" si="34"/>
        <v>451947.86666666681</v>
      </c>
      <c r="I88" s="33">
        <f t="shared" si="34"/>
        <v>432950.13333333348</v>
      </c>
      <c r="J88" s="33">
        <f t="shared" si="34"/>
        <v>413952.40000000014</v>
      </c>
      <c r="K88" s="33">
        <f t="shared" si="34"/>
        <v>394954.6666666668</v>
      </c>
      <c r="L88" s="33">
        <f t="shared" si="34"/>
        <v>375956.93333333347</v>
      </c>
      <c r="M88" s="33">
        <f t="shared" si="34"/>
        <v>356959.20000000013</v>
      </c>
      <c r="N88" s="33">
        <f t="shared" si="34"/>
        <v>337961.46666666679</v>
      </c>
      <c r="O88" s="33">
        <f t="shared" ref="O88" si="35">+O89+O90</f>
        <v>318963.73333333345</v>
      </c>
      <c r="P88" s="29"/>
      <c r="Q88" s="29"/>
    </row>
    <row r="89" spans="1:17" x14ac:dyDescent="0.2">
      <c r="A89" s="36" t="s">
        <v>48</v>
      </c>
      <c r="B89" s="29">
        <v>584932</v>
      </c>
      <c r="C89" s="29">
        <f>+B88</f>
        <v>565934.26666666672</v>
      </c>
      <c r="D89" s="29">
        <f t="shared" ref="D89:O89" si="36">+C88</f>
        <v>546936.53333333344</v>
      </c>
      <c r="E89" s="29">
        <f t="shared" si="36"/>
        <v>527938.80000000016</v>
      </c>
      <c r="F89" s="29">
        <f t="shared" si="36"/>
        <v>508941.06666666683</v>
      </c>
      <c r="G89" s="29">
        <f t="shared" si="36"/>
        <v>489943.33333333349</v>
      </c>
      <c r="H89" s="29">
        <f t="shared" si="36"/>
        <v>470945.60000000015</v>
      </c>
      <c r="I89" s="29">
        <f t="shared" si="36"/>
        <v>451947.86666666681</v>
      </c>
      <c r="J89" s="29">
        <f t="shared" si="36"/>
        <v>432950.13333333348</v>
      </c>
      <c r="K89" s="29">
        <f t="shared" si="36"/>
        <v>413952.40000000014</v>
      </c>
      <c r="L89" s="29">
        <f t="shared" si="36"/>
        <v>394954.6666666668</v>
      </c>
      <c r="M89" s="29">
        <f t="shared" si="36"/>
        <v>375956.93333333347</v>
      </c>
      <c r="N89" s="29">
        <f t="shared" si="36"/>
        <v>356959.20000000013</v>
      </c>
      <c r="O89" s="29">
        <f t="shared" si="36"/>
        <v>337961.46666666679</v>
      </c>
      <c r="P89" s="29"/>
      <c r="Q89" s="29"/>
    </row>
    <row r="90" spans="1:17" x14ac:dyDescent="0.2">
      <c r="A90" s="37" t="s">
        <v>49</v>
      </c>
      <c r="B90" s="29">
        <f>-F51</f>
        <v>-18997.733333333334</v>
      </c>
      <c r="C90" s="29">
        <f t="shared" ref="C90:O90" si="37">+IF(C89&gt;-B90,-$F$51,-C89)</f>
        <v>-18997.733333333334</v>
      </c>
      <c r="D90" s="29">
        <f t="shared" si="37"/>
        <v>-18997.733333333334</v>
      </c>
      <c r="E90" s="29">
        <f t="shared" si="37"/>
        <v>-18997.733333333334</v>
      </c>
      <c r="F90" s="29">
        <f t="shared" si="37"/>
        <v>-18997.733333333334</v>
      </c>
      <c r="G90" s="29">
        <f t="shared" si="37"/>
        <v>-18997.733333333334</v>
      </c>
      <c r="H90" s="29">
        <f t="shared" si="37"/>
        <v>-18997.733333333334</v>
      </c>
      <c r="I90" s="29">
        <f t="shared" si="37"/>
        <v>-18997.733333333334</v>
      </c>
      <c r="J90" s="29">
        <f t="shared" si="37"/>
        <v>-18997.733333333334</v>
      </c>
      <c r="K90" s="29">
        <f t="shared" si="37"/>
        <v>-18997.733333333334</v>
      </c>
      <c r="L90" s="29">
        <f t="shared" si="37"/>
        <v>-18997.733333333334</v>
      </c>
      <c r="M90" s="29">
        <f t="shared" si="37"/>
        <v>-18997.733333333334</v>
      </c>
      <c r="N90" s="29">
        <f t="shared" si="37"/>
        <v>-18997.733333333334</v>
      </c>
      <c r="O90" s="29">
        <f t="shared" si="37"/>
        <v>-18997.733333333334</v>
      </c>
      <c r="P90" s="29"/>
      <c r="Q90" s="29"/>
    </row>
    <row r="91" spans="1:17" x14ac:dyDescent="0.2">
      <c r="A91" s="37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1:17" x14ac:dyDescent="0.2">
      <c r="A92" s="10" t="s">
        <v>136</v>
      </c>
      <c r="B92" s="33">
        <f>+B93+B94</f>
        <v>1831498.0729166667</v>
      </c>
      <c r="C92" s="33">
        <f>+C93+C94</f>
        <v>1785228.6479166667</v>
      </c>
      <c r="D92" s="33">
        <f t="shared" ref="D92:N92" si="38">+D93+D94</f>
        <v>1738959.2229166667</v>
      </c>
      <c r="E92" s="33">
        <f t="shared" si="38"/>
        <v>1692689.7979166666</v>
      </c>
      <c r="F92" s="33">
        <f t="shared" si="38"/>
        <v>1646420.3729166666</v>
      </c>
      <c r="G92" s="33">
        <f t="shared" si="38"/>
        <v>1600150.9479166665</v>
      </c>
      <c r="H92" s="33">
        <f t="shared" si="38"/>
        <v>1553881.5229166665</v>
      </c>
      <c r="I92" s="33">
        <f t="shared" si="38"/>
        <v>1507612.0979166664</v>
      </c>
      <c r="J92" s="33">
        <f t="shared" si="38"/>
        <v>1461342.6729166664</v>
      </c>
      <c r="K92" s="33">
        <f t="shared" si="38"/>
        <v>1415073.2479166663</v>
      </c>
      <c r="L92" s="33">
        <f t="shared" si="38"/>
        <v>1368803.8229166663</v>
      </c>
      <c r="M92" s="33">
        <f t="shared" si="38"/>
        <v>1322534.3979166662</v>
      </c>
      <c r="N92" s="33">
        <f t="shared" si="38"/>
        <v>1276264.9729166662</v>
      </c>
      <c r="O92" s="33">
        <f t="shared" ref="O92" si="39">+O93+O94</f>
        <v>1229995.5479166661</v>
      </c>
      <c r="P92" s="29"/>
      <c r="Q92" s="29"/>
    </row>
    <row r="93" spans="1:17" x14ac:dyDescent="0.2">
      <c r="A93" s="36" t="s">
        <v>48</v>
      </c>
      <c r="B93" s="29">
        <f>+D52</f>
        <v>1850777</v>
      </c>
      <c r="C93" s="29">
        <f>+B92</f>
        <v>1831498.0729166667</v>
      </c>
      <c r="D93" s="29">
        <f t="shared" ref="D93:O93" si="40">+C92</f>
        <v>1785228.6479166667</v>
      </c>
      <c r="E93" s="29">
        <f t="shared" si="40"/>
        <v>1738959.2229166667</v>
      </c>
      <c r="F93" s="29">
        <f t="shared" si="40"/>
        <v>1692689.7979166666</v>
      </c>
      <c r="G93" s="29">
        <f t="shared" si="40"/>
        <v>1646420.3729166666</v>
      </c>
      <c r="H93" s="29">
        <f t="shared" si="40"/>
        <v>1600150.9479166665</v>
      </c>
      <c r="I93" s="29">
        <f t="shared" si="40"/>
        <v>1553881.5229166665</v>
      </c>
      <c r="J93" s="29">
        <f t="shared" si="40"/>
        <v>1507612.0979166664</v>
      </c>
      <c r="K93" s="29">
        <f t="shared" si="40"/>
        <v>1461342.6729166664</v>
      </c>
      <c r="L93" s="29">
        <f t="shared" si="40"/>
        <v>1415073.2479166663</v>
      </c>
      <c r="M93" s="29">
        <f t="shared" si="40"/>
        <v>1368803.8229166663</v>
      </c>
      <c r="N93" s="29">
        <f t="shared" si="40"/>
        <v>1322534.3979166662</v>
      </c>
      <c r="O93" s="29">
        <f t="shared" si="40"/>
        <v>1276264.9729166662</v>
      </c>
      <c r="P93" s="29"/>
      <c r="Q93" s="29"/>
    </row>
    <row r="94" spans="1:17" x14ac:dyDescent="0.2">
      <c r="A94" s="37" t="s">
        <v>49</v>
      </c>
      <c r="B94" s="29">
        <f>-F52*(0.416666666666667)</f>
        <v>-19278.92708333335</v>
      </c>
      <c r="C94" s="29">
        <f t="shared" ref="C94:O94" si="41">+IF(C93&gt;-B94,-$F$52,-C93)</f>
        <v>-46269.425000000003</v>
      </c>
      <c r="D94" s="29">
        <f t="shared" si="41"/>
        <v>-46269.425000000003</v>
      </c>
      <c r="E94" s="29">
        <f t="shared" si="41"/>
        <v>-46269.425000000003</v>
      </c>
      <c r="F94" s="29">
        <f t="shared" si="41"/>
        <v>-46269.425000000003</v>
      </c>
      <c r="G94" s="29">
        <f t="shared" si="41"/>
        <v>-46269.425000000003</v>
      </c>
      <c r="H94" s="29">
        <f t="shared" si="41"/>
        <v>-46269.425000000003</v>
      </c>
      <c r="I94" s="29">
        <f t="shared" si="41"/>
        <v>-46269.425000000003</v>
      </c>
      <c r="J94" s="29">
        <f t="shared" si="41"/>
        <v>-46269.425000000003</v>
      </c>
      <c r="K94" s="29">
        <f t="shared" si="41"/>
        <v>-46269.425000000003</v>
      </c>
      <c r="L94" s="29">
        <f t="shared" si="41"/>
        <v>-46269.425000000003</v>
      </c>
      <c r="M94" s="29">
        <f t="shared" si="41"/>
        <v>-46269.425000000003</v>
      </c>
      <c r="N94" s="29">
        <f t="shared" si="41"/>
        <v>-46269.425000000003</v>
      </c>
      <c r="O94" s="29">
        <f t="shared" si="41"/>
        <v>-46269.425000000003</v>
      </c>
      <c r="P94" s="29"/>
      <c r="Q94" s="29"/>
    </row>
    <row r="95" spans="1:17" x14ac:dyDescent="0.2">
      <c r="A95" s="37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1:17" x14ac:dyDescent="0.2">
      <c r="A96" s="10" t="s">
        <v>146</v>
      </c>
      <c r="B96" s="33">
        <f t="shared" ref="B96:N96" si="42">+B97+B98</f>
        <v>0</v>
      </c>
      <c r="C96" s="33">
        <f t="shared" si="42"/>
        <v>0</v>
      </c>
      <c r="D96" s="33">
        <f>+D97+D98+150000</f>
        <v>150000</v>
      </c>
      <c r="E96" s="33">
        <f t="shared" si="42"/>
        <v>142500</v>
      </c>
      <c r="F96" s="33">
        <f t="shared" si="42"/>
        <v>135000</v>
      </c>
      <c r="G96" s="33">
        <f t="shared" si="42"/>
        <v>127500</v>
      </c>
      <c r="H96" s="33">
        <f t="shared" si="42"/>
        <v>120000</v>
      </c>
      <c r="I96" s="33">
        <f t="shared" si="42"/>
        <v>112500</v>
      </c>
      <c r="J96" s="33">
        <f t="shared" si="42"/>
        <v>105000</v>
      </c>
      <c r="K96" s="33">
        <f t="shared" si="42"/>
        <v>97500</v>
      </c>
      <c r="L96" s="33">
        <f t="shared" si="42"/>
        <v>90000</v>
      </c>
      <c r="M96" s="33">
        <f t="shared" si="42"/>
        <v>82500</v>
      </c>
      <c r="N96" s="33">
        <f t="shared" si="42"/>
        <v>75000</v>
      </c>
      <c r="O96" s="33">
        <f t="shared" ref="O96" si="43">+O97+O98</f>
        <v>67500</v>
      </c>
      <c r="P96" s="29"/>
      <c r="Q96" s="29"/>
    </row>
    <row r="97" spans="1:17" x14ac:dyDescent="0.2">
      <c r="A97" s="36" t="s">
        <v>48</v>
      </c>
      <c r="B97" s="29">
        <v>0</v>
      </c>
      <c r="C97" s="29">
        <f>+B96</f>
        <v>0</v>
      </c>
      <c r="D97" s="29">
        <f t="shared" ref="D97:O97" si="44">+C96</f>
        <v>0</v>
      </c>
      <c r="E97" s="29">
        <f t="shared" si="44"/>
        <v>150000</v>
      </c>
      <c r="F97" s="29">
        <f t="shared" si="44"/>
        <v>142500</v>
      </c>
      <c r="G97" s="29">
        <f t="shared" si="44"/>
        <v>135000</v>
      </c>
      <c r="H97" s="29">
        <f t="shared" si="44"/>
        <v>127500</v>
      </c>
      <c r="I97" s="29">
        <f t="shared" si="44"/>
        <v>120000</v>
      </c>
      <c r="J97" s="29">
        <f t="shared" si="44"/>
        <v>112500</v>
      </c>
      <c r="K97" s="29">
        <f t="shared" si="44"/>
        <v>105000</v>
      </c>
      <c r="L97" s="29">
        <f t="shared" si="44"/>
        <v>97500</v>
      </c>
      <c r="M97" s="29">
        <f t="shared" si="44"/>
        <v>90000</v>
      </c>
      <c r="N97" s="29">
        <f t="shared" si="44"/>
        <v>82500</v>
      </c>
      <c r="O97" s="29">
        <f t="shared" si="44"/>
        <v>75000</v>
      </c>
      <c r="P97" s="29"/>
      <c r="Q97" s="29"/>
    </row>
    <row r="98" spans="1:17" x14ac:dyDescent="0.2">
      <c r="A98" s="37" t="s">
        <v>49</v>
      </c>
      <c r="B98" s="29">
        <v>0</v>
      </c>
      <c r="C98" s="29">
        <v>0</v>
      </c>
      <c r="D98" s="29">
        <v>0</v>
      </c>
      <c r="E98" s="29">
        <f>+IF(E97&gt;-D98,-$F$53,-E97)</f>
        <v>-7500</v>
      </c>
      <c r="F98" s="29">
        <f t="shared" ref="F98:O98" si="45">+IF(F97&gt;-E98,-$F$53,-F97)</f>
        <v>-7500</v>
      </c>
      <c r="G98" s="29">
        <f t="shared" si="45"/>
        <v>-7500</v>
      </c>
      <c r="H98" s="29">
        <f t="shared" si="45"/>
        <v>-7500</v>
      </c>
      <c r="I98" s="29">
        <f t="shared" si="45"/>
        <v>-7500</v>
      </c>
      <c r="J98" s="29">
        <f t="shared" si="45"/>
        <v>-7500</v>
      </c>
      <c r="K98" s="29">
        <f t="shared" si="45"/>
        <v>-7500</v>
      </c>
      <c r="L98" s="29">
        <f t="shared" si="45"/>
        <v>-7500</v>
      </c>
      <c r="M98" s="29">
        <f t="shared" si="45"/>
        <v>-7500</v>
      </c>
      <c r="N98" s="29">
        <f t="shared" si="45"/>
        <v>-7500</v>
      </c>
      <c r="O98" s="29">
        <f t="shared" si="45"/>
        <v>-7500</v>
      </c>
      <c r="P98" s="29"/>
      <c r="Q98" s="29"/>
    </row>
    <row r="99" spans="1:17" x14ac:dyDescent="0.2">
      <c r="A99" s="10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1:17" x14ac:dyDescent="0.2">
      <c r="A100" s="12" t="s">
        <v>134</v>
      </c>
      <c r="B100" s="58">
        <f>+B92+B88+B84+B80+B76+B72+B68+B64+B60+B56+B96</f>
        <v>6373104.6888586953</v>
      </c>
      <c r="C100" s="58">
        <f t="shared" ref="C100:N100" si="46">+C92+C88+C84+C80+C76+C72+C68+C64+C60+C56+C96</f>
        <v>6129180.8798007248</v>
      </c>
      <c r="D100" s="58">
        <f t="shared" si="46"/>
        <v>6056130.0707427543</v>
      </c>
      <c r="E100" s="58">
        <f t="shared" si="46"/>
        <v>5825579.2616847828</v>
      </c>
      <c r="F100" s="58">
        <f t="shared" si="46"/>
        <v>5595037.1192934783</v>
      </c>
      <c r="G100" s="58">
        <f t="shared" si="46"/>
        <v>5372834.2435688404</v>
      </c>
      <c r="H100" s="58">
        <f t="shared" si="46"/>
        <v>5150631.3678442026</v>
      </c>
      <c r="I100" s="58">
        <f t="shared" si="46"/>
        <v>4936625.4921195656</v>
      </c>
      <c r="J100" s="58">
        <f t="shared" si="46"/>
        <v>4730797.6163949277</v>
      </c>
      <c r="K100" s="58">
        <f t="shared" si="46"/>
        <v>4524969.7406702898</v>
      </c>
      <c r="L100" s="58">
        <f t="shared" si="46"/>
        <v>4319141.864945652</v>
      </c>
      <c r="M100" s="58">
        <f t="shared" si="46"/>
        <v>4113313.9892210141</v>
      </c>
      <c r="N100" s="58">
        <f t="shared" si="46"/>
        <v>3907486.1134963767</v>
      </c>
      <c r="O100" s="58">
        <f t="shared" ref="O100" si="47">+O92+O88+O84+O80+O76+O72+O68+O64+O60+O56+O96</f>
        <v>3701658.2377717388</v>
      </c>
      <c r="P100" s="29"/>
      <c r="Q100" s="29"/>
    </row>
    <row r="101" spans="1:17" x14ac:dyDescent="0.2">
      <c r="A101" s="12" t="s">
        <v>135</v>
      </c>
      <c r="B101" s="58">
        <f>+B94+B90+B86+B82+B78+B74+B70+B66+B62+B58+B98</f>
        <v>-221105.31114130435</v>
      </c>
      <c r="C101" s="58">
        <f t="shared" ref="C101:N101" si="48">+C94+C90+C86+C82+C78+C74+C70+C66+C62+C58+C98</f>
        <v>-243923.80905797103</v>
      </c>
      <c r="D101" s="58">
        <f t="shared" si="48"/>
        <v>-223050.80905797103</v>
      </c>
      <c r="E101" s="58">
        <f t="shared" si="48"/>
        <v>-230550.80905797103</v>
      </c>
      <c r="F101" s="58">
        <f t="shared" si="48"/>
        <v>-230542.14239130437</v>
      </c>
      <c r="G101" s="58">
        <f t="shared" si="48"/>
        <v>-222202.87572463771</v>
      </c>
      <c r="H101" s="58">
        <f t="shared" si="48"/>
        <v>-222202.87572463771</v>
      </c>
      <c r="I101" s="58">
        <f t="shared" si="48"/>
        <v>-214005.87572463771</v>
      </c>
      <c r="J101" s="58">
        <f t="shared" si="48"/>
        <v>-205827.87572463771</v>
      </c>
      <c r="K101" s="58">
        <f t="shared" si="48"/>
        <v>-205827.87572463771</v>
      </c>
      <c r="L101" s="58">
        <f t="shared" si="48"/>
        <v>-205827.87572463771</v>
      </c>
      <c r="M101" s="58">
        <f t="shared" si="48"/>
        <v>-205827.87572463771</v>
      </c>
      <c r="N101" s="58">
        <f t="shared" si="48"/>
        <v>-205827.87572463771</v>
      </c>
      <c r="O101" s="58">
        <f t="shared" ref="O101" si="49">+O94+O90+O86+O82+O78+O74+O70+O66+O62+O58+O98</f>
        <v>-205827.87572463771</v>
      </c>
      <c r="P101" s="29"/>
      <c r="Q101" s="29"/>
    </row>
    <row r="102" spans="1:17" x14ac:dyDescent="0.2">
      <c r="B102" s="29"/>
    </row>
  </sheetData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141"/>
  <sheetViews>
    <sheetView zoomScale="80" zoomScaleNormal="80" workbookViewId="0">
      <pane xSplit="2" ySplit="6" topLeftCell="C16" activePane="bottomRight" state="frozen"/>
      <selection pane="topRight" activeCell="B1" sqref="B1"/>
      <selection pane="bottomLeft" activeCell="A7" sqref="A7"/>
      <selection pane="bottomRight" activeCell="P43" sqref="P43"/>
    </sheetView>
  </sheetViews>
  <sheetFormatPr defaultColWidth="0" defaultRowHeight="15" zeroHeight="1" x14ac:dyDescent="0.25"/>
  <cols>
    <col min="1" max="1" width="8.85546875" style="1" customWidth="1"/>
    <col min="2" max="2" width="35.42578125" style="1" bestFit="1" customWidth="1"/>
    <col min="3" max="17" width="14.7109375" style="1" customWidth="1"/>
    <col min="18" max="16384" width="9.140625" style="1" hidden="1"/>
  </cols>
  <sheetData>
    <row r="1" spans="2:17" ht="18" x14ac:dyDescent="0.25">
      <c r="B1" s="8" t="s">
        <v>140</v>
      </c>
    </row>
    <row r="2" spans="2:17" x14ac:dyDescent="0.25">
      <c r="B2" s="9"/>
    </row>
    <row r="3" spans="2:17" x14ac:dyDescent="0.25">
      <c r="B3" s="9"/>
    </row>
    <row r="4" spans="2:17" x14ac:dyDescent="0.25">
      <c r="B4" s="9"/>
    </row>
    <row r="5" spans="2:17" x14ac:dyDescent="0.25">
      <c r="B5" s="10"/>
    </row>
    <row r="6" spans="2:17" ht="30.75" thickBot="1" x14ac:dyDescent="0.3">
      <c r="B6" s="11"/>
      <c r="C6" s="17" t="s">
        <v>120</v>
      </c>
      <c r="D6" s="17" t="s">
        <v>121</v>
      </c>
      <c r="E6" s="17" t="s">
        <v>122</v>
      </c>
      <c r="F6" s="17" t="s">
        <v>123</v>
      </c>
      <c r="G6" s="17" t="s">
        <v>124</v>
      </c>
      <c r="H6" s="17" t="s">
        <v>125</v>
      </c>
      <c r="I6" s="17" t="s">
        <v>126</v>
      </c>
      <c r="J6" s="17" t="s">
        <v>127</v>
      </c>
      <c r="K6" s="17" t="s">
        <v>128</v>
      </c>
      <c r="L6" s="17" t="s">
        <v>129</v>
      </c>
      <c r="M6" s="17" t="s">
        <v>130</v>
      </c>
      <c r="N6" s="17" t="s">
        <v>131</v>
      </c>
      <c r="O6" s="17" t="s">
        <v>132</v>
      </c>
      <c r="P6" s="17" t="s">
        <v>148</v>
      </c>
    </row>
    <row r="7" spans="2:17" x14ac:dyDescent="0.25">
      <c r="B7" s="50" t="s">
        <v>11</v>
      </c>
    </row>
    <row r="8" spans="2:17" x14ac:dyDescent="0.25">
      <c r="B8" s="13" t="s">
        <v>144</v>
      </c>
      <c r="C8" s="33">
        <f>+'2.1 Resultaträkning'!L8</f>
        <v>558768</v>
      </c>
      <c r="D8" s="33">
        <f>+C8*(1+'3.1 Antaganden'!C6)</f>
        <v>581118.71999999997</v>
      </c>
      <c r="E8" s="33">
        <f>+D8*(1+'3.1 Antaganden'!D6)</f>
        <v>604363.46880000003</v>
      </c>
      <c r="F8" s="33">
        <f>+E8*(1+'3.1 Antaganden'!E6)</f>
        <v>628538.00755200011</v>
      </c>
      <c r="G8" s="33">
        <f>+F8*(1+'3.1 Antaganden'!F6)</f>
        <v>653679.5278540802</v>
      </c>
      <c r="H8" s="33">
        <f>+G8*(1+'3.1 Antaganden'!G6)</f>
        <v>679826.70896824345</v>
      </c>
      <c r="I8" s="33">
        <f>+H8*(1+'3.1 Antaganden'!H6)</f>
        <v>693423.24314760836</v>
      </c>
      <c r="J8" s="33">
        <f>+I8*(1+'3.1 Antaganden'!I6)</f>
        <v>707291.70801056048</v>
      </c>
      <c r="K8" s="33">
        <f>+J8*(1+'3.1 Antaganden'!J6)</f>
        <v>721437.54217077175</v>
      </c>
      <c r="L8" s="33">
        <f>+K8*(1+'3.1 Antaganden'!K6)</f>
        <v>735866.29301418725</v>
      </c>
      <c r="M8" s="33">
        <f>+L8*(1+'3.1 Antaganden'!L6)</f>
        <v>750583.61887447105</v>
      </c>
      <c r="N8" s="33">
        <f>+M8*(1+'3.1 Antaganden'!M6)</f>
        <v>765595.29125196044</v>
      </c>
      <c r="O8" s="33">
        <f>+N8*(1+'3.1 Antaganden'!N6)</f>
        <v>780907.1970769997</v>
      </c>
      <c r="P8" s="33">
        <f>+O8*(1+'3.1 Antaganden'!O6)</f>
        <v>796525.34101853974</v>
      </c>
      <c r="Q8" s="16"/>
    </row>
    <row r="9" spans="2:17" x14ac:dyDescent="0.25">
      <c r="B9" s="10"/>
      <c r="C9" s="33"/>
      <c r="D9" s="33"/>
      <c r="E9" s="5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16"/>
    </row>
    <row r="10" spans="2:17" x14ac:dyDescent="0.25">
      <c r="B10" s="13" t="s">
        <v>145</v>
      </c>
      <c r="C10" s="33">
        <f>+'2.1 Resultaträkning'!L10</f>
        <v>44734</v>
      </c>
      <c r="D10" s="33">
        <f>-D17</f>
        <v>46541.476615060608</v>
      </c>
      <c r="E10" s="33">
        <f t="shared" ref="E10:P10" si="0">-E17</f>
        <v>48410.080355575672</v>
      </c>
      <c r="F10" s="33">
        <f t="shared" si="0"/>
        <v>50353.707068996089</v>
      </c>
      <c r="G10" s="33">
        <f t="shared" si="0"/>
        <v>52375.368868774021</v>
      </c>
      <c r="H10" s="33">
        <f t="shared" si="0"/>
        <v>54478.198802351537</v>
      </c>
      <c r="I10" s="33">
        <f t="shared" si="0"/>
        <v>56665.455706565357</v>
      </c>
      <c r="J10" s="33">
        <f t="shared" si="0"/>
        <v>58940.529257992275</v>
      </c>
      <c r="K10" s="33">
        <f t="shared" si="0"/>
        <v>61306.945226061973</v>
      </c>
      <c r="L10" s="33">
        <f t="shared" si="0"/>
        <v>63768.370937078224</v>
      </c>
      <c r="M10" s="33">
        <f t="shared" si="0"/>
        <v>66328.620957616193</v>
      </c>
      <c r="N10" s="33">
        <f t="shared" si="0"/>
        <v>68991.663006103772</v>
      </c>
      <c r="O10" s="33">
        <f>-O17</f>
        <v>71761.624101748152</v>
      </c>
      <c r="P10" s="33">
        <f t="shared" si="0"/>
        <v>74642.796960337058</v>
      </c>
      <c r="Q10" s="16"/>
    </row>
    <row r="11" spans="2:17" x14ac:dyDescent="0.25">
      <c r="B11" s="10"/>
      <c r="C11" s="33"/>
      <c r="D11" s="61"/>
      <c r="E11" s="59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16"/>
    </row>
    <row r="12" spans="2:17" x14ac:dyDescent="0.25">
      <c r="B12" s="10" t="s">
        <v>12</v>
      </c>
      <c r="C12" s="33">
        <f>+'2.1 Resultaträkning'!L12</f>
        <v>2235</v>
      </c>
      <c r="D12" s="33">
        <v>3000</v>
      </c>
      <c r="E12" s="33">
        <v>3000</v>
      </c>
      <c r="F12" s="33">
        <v>3000</v>
      </c>
      <c r="G12" s="33">
        <v>3000</v>
      </c>
      <c r="H12" s="33">
        <v>3000</v>
      </c>
      <c r="I12" s="33">
        <v>3000</v>
      </c>
      <c r="J12" s="33">
        <v>3000</v>
      </c>
      <c r="K12" s="33">
        <v>3000</v>
      </c>
      <c r="L12" s="33">
        <v>3000</v>
      </c>
      <c r="M12" s="33">
        <v>3000</v>
      </c>
      <c r="N12" s="33">
        <v>3000</v>
      </c>
      <c r="O12" s="33">
        <v>3000</v>
      </c>
      <c r="P12" s="33">
        <v>3000</v>
      </c>
      <c r="Q12" s="16"/>
    </row>
    <row r="13" spans="2:17" x14ac:dyDescent="0.25">
      <c r="B13" s="1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2:17" x14ac:dyDescent="0.25">
      <c r="B14" s="49" t="s">
        <v>13</v>
      </c>
      <c r="C14" s="19">
        <f>+SUM(C8:C12)</f>
        <v>605737</v>
      </c>
      <c r="D14" s="19">
        <f t="shared" ref="D14:P14" si="1">+SUM(D8:D12)</f>
        <v>630660.19661506056</v>
      </c>
      <c r="E14" s="19">
        <f t="shared" si="1"/>
        <v>655773.54915557569</v>
      </c>
      <c r="F14" s="19">
        <f t="shared" si="1"/>
        <v>681891.71462099615</v>
      </c>
      <c r="G14" s="19">
        <f t="shared" si="1"/>
        <v>709054.89672285423</v>
      </c>
      <c r="H14" s="19">
        <f t="shared" si="1"/>
        <v>737304.90777059493</v>
      </c>
      <c r="I14" s="19">
        <f t="shared" si="1"/>
        <v>753088.69885417377</v>
      </c>
      <c r="J14" s="19">
        <f t="shared" si="1"/>
        <v>769232.23726855277</v>
      </c>
      <c r="K14" s="19">
        <f t="shared" si="1"/>
        <v>785744.48739683372</v>
      </c>
      <c r="L14" s="19">
        <f t="shared" si="1"/>
        <v>802634.66395126551</v>
      </c>
      <c r="M14" s="19">
        <f t="shared" si="1"/>
        <v>819912.23983208719</v>
      </c>
      <c r="N14" s="19">
        <f t="shared" si="1"/>
        <v>837586.95425806427</v>
      </c>
      <c r="O14" s="19">
        <f t="shared" si="1"/>
        <v>855668.82117874781</v>
      </c>
      <c r="P14" s="19">
        <f t="shared" si="1"/>
        <v>874168.13797887682</v>
      </c>
      <c r="Q14" s="16"/>
    </row>
    <row r="15" spans="2:17" x14ac:dyDescent="0.25">
      <c r="B15" s="10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2:17" x14ac:dyDescent="0.25">
      <c r="B16" s="12" t="s">
        <v>14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2:17" x14ac:dyDescent="0.25">
      <c r="B17" s="27" t="s">
        <v>15</v>
      </c>
      <c r="C17" s="33">
        <f>+'2.1 Resultaträkning'!L17</f>
        <v>-44745</v>
      </c>
      <c r="D17" s="29">
        <f>+C17*(1+'3.1 Antaganden'!C11)</f>
        <v>-46541.476615060608</v>
      </c>
      <c r="E17" s="29">
        <f>+D17*(1+'3.1 Antaganden'!D11)</f>
        <v>-48410.080355575672</v>
      </c>
      <c r="F17" s="29">
        <f>+E17*(1+'3.1 Antaganden'!E11)</f>
        <v>-50353.707068996089</v>
      </c>
      <c r="G17" s="29">
        <f>+F17*(1+'3.1 Antaganden'!F11)</f>
        <v>-52375.368868774021</v>
      </c>
      <c r="H17" s="29">
        <f>+G17*(1+'3.1 Antaganden'!G11)</f>
        <v>-54478.198802351537</v>
      </c>
      <c r="I17" s="29">
        <f>+H17*(1+'3.1 Antaganden'!H11)</f>
        <v>-56665.455706565357</v>
      </c>
      <c r="J17" s="29">
        <f>+I17*(1+'3.1 Antaganden'!I11)</f>
        <v>-58940.529257992275</v>
      </c>
      <c r="K17" s="29">
        <f>+J17*(1+'3.1 Antaganden'!J11)</f>
        <v>-61306.945226061973</v>
      </c>
      <c r="L17" s="29">
        <f>+K17*(1+'3.1 Antaganden'!K11)</f>
        <v>-63768.370937078224</v>
      </c>
      <c r="M17" s="29">
        <f>+L17*(1+'3.1 Antaganden'!L11)</f>
        <v>-66328.620957616193</v>
      </c>
      <c r="N17" s="29">
        <f>+M17*(1+'3.1 Antaganden'!M11)</f>
        <v>-68991.663006103772</v>
      </c>
      <c r="O17" s="29">
        <f>+N17*(1+'3.1 Antaganden'!N11)</f>
        <v>-71761.624101748152</v>
      </c>
      <c r="P17" s="29">
        <f>+O17*(1+'3.1 Antaganden'!O11)</f>
        <v>-74642.796960337058</v>
      </c>
      <c r="Q17" s="16"/>
    </row>
    <row r="18" spans="2:17" x14ac:dyDescent="0.25">
      <c r="B18" s="28" t="s">
        <v>16</v>
      </c>
      <c r="C18" s="33">
        <f>+'2.1 Resultaträkning'!L18</f>
        <v>-12572</v>
      </c>
      <c r="D18" s="29">
        <f>+C18*(1+'3.1 Antaganden'!C12)</f>
        <v>-12415.984586771963</v>
      </c>
      <c r="E18" s="29">
        <f>+D18*(1+'3.1 Antaganden'!D12)</f>
        <v>-12261.905286267815</v>
      </c>
      <c r="F18" s="29">
        <f>+E18*(1+'3.1 Antaganden'!E12)</f>
        <v>-12109.738071807098</v>
      </c>
      <c r="G18" s="29">
        <f>+F18*(1+'3.1 Antaganden'!F12)</f>
        <v>-11959.459214874527</v>
      </c>
      <c r="H18" s="29">
        <f>+G18*(1+'3.1 Antaganden'!G12)</f>
        <v>-11811.045281419825</v>
      </c>
      <c r="I18" s="29">
        <f>+H18*(1+'3.1 Antaganden'!H12)</f>
        <v>-11664.47312820349</v>
      </c>
      <c r="J18" s="29">
        <f>+I18*(1+'3.1 Antaganden'!I12)</f>
        <v>-11519.7198991879</v>
      </c>
      <c r="K18" s="29">
        <f>+J18*(1+'3.1 Antaganden'!J12)</f>
        <v>-11376.763021973213</v>
      </c>
      <c r="L18" s="29">
        <f>+K18*(1+'3.1 Antaganden'!K12)</f>
        <v>-11235.580204277492</v>
      </c>
      <c r="M18" s="29">
        <f>+L18*(1+'3.1 Antaganden'!L12)</f>
        <v>-11096.149430460509</v>
      </c>
      <c r="N18" s="29">
        <f>+M18*(1+'3.1 Antaganden'!M12)</f>
        <v>-10958.448958090692</v>
      </c>
      <c r="O18" s="29">
        <f>+N18*(1+'3.1 Antaganden'!N12)</f>
        <v>-10822.457314554669</v>
      </c>
      <c r="P18" s="29">
        <f>+O18*(1+'3.1 Antaganden'!O12)</f>
        <v>-10688.153293708898</v>
      </c>
      <c r="Q18" s="16"/>
    </row>
    <row r="19" spans="2:17" x14ac:dyDescent="0.25">
      <c r="B19" s="28" t="s">
        <v>17</v>
      </c>
      <c r="C19" s="33">
        <f>+'2.1 Resultaträkning'!L19</f>
        <v>-126761</v>
      </c>
      <c r="D19" s="29">
        <f>+C19*(1+'3.1 Antaganden'!C13)</f>
        <v>-128028.61</v>
      </c>
      <c r="E19" s="29">
        <f>+D19*(1+'3.1 Antaganden'!D13)</f>
        <v>-129308.8961</v>
      </c>
      <c r="F19" s="29">
        <f>+E19*(1+'3.1 Antaganden'!E13)</f>
        <v>-130601.985061</v>
      </c>
      <c r="G19" s="29">
        <f>+F19*(1+'3.1 Antaganden'!F13)</f>
        <v>-131908.00491161001</v>
      </c>
      <c r="H19" s="29">
        <f>+G19*(1+'3.1 Antaganden'!G13)</f>
        <v>-133227.08496072612</v>
      </c>
      <c r="I19" s="29">
        <f>+H19*(1+'3.1 Antaganden'!H13)</f>
        <v>-134559.35581033339</v>
      </c>
      <c r="J19" s="29">
        <f>+I19*(1+'3.1 Antaganden'!I13)</f>
        <v>-135904.94936843673</v>
      </c>
      <c r="K19" s="29">
        <f>+J19*(1+'3.1 Antaganden'!J13)</f>
        <v>-137263.99886212111</v>
      </c>
      <c r="L19" s="29">
        <f>+K19*(1+'3.1 Antaganden'!K13)</f>
        <v>-138636.63885074231</v>
      </c>
      <c r="M19" s="29">
        <f>+L19*(1+'3.1 Antaganden'!L13)</f>
        <v>-140023.00523924973</v>
      </c>
      <c r="N19" s="29">
        <f>+M19*(1+'3.1 Antaganden'!M13)</f>
        <v>-141423.23529164222</v>
      </c>
      <c r="O19" s="29">
        <f>+N19*(1+'3.1 Antaganden'!N13)</f>
        <v>-142837.46764455864</v>
      </c>
      <c r="P19" s="29">
        <f>+O19*(1+'3.1 Antaganden'!O13)</f>
        <v>-144265.84232100422</v>
      </c>
      <c r="Q19" s="16"/>
    </row>
    <row r="20" spans="2:17" x14ac:dyDescent="0.25">
      <c r="B20" s="28" t="s">
        <v>18</v>
      </c>
      <c r="C20" s="33">
        <f>+'2.1 Resultaträkning'!L20</f>
        <v>-27651</v>
      </c>
      <c r="D20" s="29">
        <f>+C20*(1+'3.1 Antaganden'!C14)</f>
        <v>-28230.711204207826</v>
      </c>
      <c r="E20" s="29">
        <f>+D20*(1+'3.1 Antaganden'!D14)</f>
        <v>-28822.576221307922</v>
      </c>
      <c r="F20" s="29">
        <f>+E20*(1+'3.1 Antaganden'!E14)</f>
        <v>-29426.849859499172</v>
      </c>
      <c r="G20" s="29">
        <f>+F20*(1+'3.1 Antaganden'!F14)</f>
        <v>-30043.792269107984</v>
      </c>
      <c r="H20" s="29">
        <f>+G20*(1+'3.1 Antaganden'!G14)</f>
        <v>-30673.66905458751</v>
      </c>
      <c r="I20" s="29">
        <f>+H20*(1+'3.1 Antaganden'!H14)</f>
        <v>-31316.751388865014</v>
      </c>
      <c r="J20" s="29">
        <f>+I20*(1+'3.1 Antaganden'!I14)</f>
        <v>-31973.316130086529</v>
      </c>
      <c r="K20" s="29">
        <f>+J20*(1+'3.1 Antaganden'!J14)</f>
        <v>-32643.645940809107</v>
      </c>
      <c r="L20" s="29">
        <f>+K20*(1+'3.1 Antaganden'!K14)</f>
        <v>-33328.029409691982</v>
      </c>
      <c r="M20" s="29">
        <f>+L20*(1+'3.1 Antaganden'!L14)</f>
        <v>-34026.761175739011</v>
      </c>
      <c r="N20" s="29">
        <f>+M20*(1+'3.1 Antaganden'!M14)</f>
        <v>-34740.142055145894</v>
      </c>
      <c r="O20" s="29">
        <f>+N20*(1+'3.1 Antaganden'!N14)</f>
        <v>-35468.479170806793</v>
      </c>
      <c r="P20" s="29">
        <f>+O20*(1+'3.1 Antaganden'!O14)</f>
        <v>-36212.086084536088</v>
      </c>
      <c r="Q20" s="16"/>
    </row>
    <row r="21" spans="2:17" x14ac:dyDescent="0.25">
      <c r="B21" s="28" t="s">
        <v>19</v>
      </c>
      <c r="C21" s="33">
        <f>+'2.1 Resultaträkning'!L21</f>
        <v>-19158</v>
      </c>
      <c r="D21" s="29">
        <f>+C21*(1+'3.1 Antaganden'!C15)</f>
        <v>-20527.336726039179</v>
      </c>
      <c r="E21" s="29">
        <f>+D21*(1+'3.1 Antaganden'!D15)</f>
        <v>-21994.548129460116</v>
      </c>
      <c r="F21" s="29">
        <f>+E21*(1+'3.1 Antaganden'!E15)</f>
        <v>-23566.629898241099</v>
      </c>
      <c r="G21" s="29">
        <f>+F21*(1+'3.1 Antaganden'!F15)</f>
        <v>-25251.077743978363</v>
      </c>
      <c r="H21" s="29">
        <f>+G21*(1+'3.1 Antaganden'!G15)</f>
        <v>-27055.923141561623</v>
      </c>
      <c r="I21" s="29">
        <f>+H21*(1+'3.1 Antaganden'!H15)</f>
        <v>-28989.771623377765</v>
      </c>
      <c r="J21" s="29">
        <f>+I21*(1+'3.1 Antaganden'!I15)</f>
        <v>-31061.843810630067</v>
      </c>
      <c r="K21" s="29">
        <f>+J21*(1+'3.1 Antaganden'!J15)</f>
        <v>-33282.019377410972</v>
      </c>
      <c r="L21" s="29">
        <f>+K21*(1+'3.1 Antaganden'!K15)</f>
        <v>-35660.884157149798</v>
      </c>
      <c r="M21" s="29">
        <f>+L21*(1+'3.1 Antaganden'!L15)</f>
        <v>-38209.780616039759</v>
      </c>
      <c r="N21" s="29">
        <f>+M21*(1+'3.1 Antaganden'!M15)</f>
        <v>-40940.861934102351</v>
      </c>
      <c r="O21" s="29">
        <f>+N21*(1+'3.1 Antaganden'!N15)</f>
        <v>-43867.149951748543</v>
      </c>
      <c r="P21" s="29">
        <f>+O21*(1+'3.1 Antaganden'!O15)</f>
        <v>-47002.597258126923</v>
      </c>
      <c r="Q21" s="16"/>
    </row>
    <row r="22" spans="2:17" x14ac:dyDescent="0.25">
      <c r="B22" s="28" t="s">
        <v>20</v>
      </c>
      <c r="C22" s="33">
        <f>+'2.1 Resultaträkning'!L22</f>
        <v>-31178</v>
      </c>
      <c r="D22" s="29">
        <f>+C22*(1+'3.1 Antaganden'!C16)</f>
        <v>-31489.78</v>
      </c>
      <c r="E22" s="29">
        <f>+D22*(1+'3.1 Antaganden'!D16)</f>
        <v>-31804.677799999998</v>
      </c>
      <c r="F22" s="29">
        <f>+E22*(1+'3.1 Antaganden'!E16)</f>
        <v>-32122.724577999998</v>
      </c>
      <c r="G22" s="29">
        <f>+F22*(1+'3.1 Antaganden'!F16)</f>
        <v>-19273.634746799999</v>
      </c>
      <c r="H22" s="29">
        <f>+G22*(1+'3.1 Antaganden'!G16)</f>
        <v>-19466.371094267997</v>
      </c>
      <c r="I22" s="29">
        <f>+H22*(1+'3.1 Antaganden'!H16)</f>
        <v>-19661.034805210678</v>
      </c>
      <c r="J22" s="29">
        <f>+I22*(1+'3.1 Antaganden'!I16)</f>
        <v>-19857.645153262787</v>
      </c>
      <c r="K22" s="29">
        <f>+J22*(1+'3.1 Antaganden'!J16)</f>
        <v>-20056.221604795413</v>
      </c>
      <c r="L22" s="29">
        <f>+K22*(1+'3.1 Antaganden'!K16)</f>
        <v>-20457.346036891322</v>
      </c>
      <c r="M22" s="29">
        <f>+L22*(1+'3.1 Antaganden'!L16)</f>
        <v>-20866.492957629147</v>
      </c>
      <c r="N22" s="29">
        <f>+M22*(1+'3.1 Antaganden'!M16)</f>
        <v>-21283.822816781729</v>
      </c>
      <c r="O22" s="29">
        <f>+N22*(1+'3.1 Antaganden'!N16)</f>
        <v>-21709.499273117362</v>
      </c>
      <c r="P22" s="29">
        <f>+O22*(1+'3.1 Antaganden'!O16)</f>
        <v>-22143.68925857971</v>
      </c>
      <c r="Q22" s="16"/>
    </row>
    <row r="23" spans="2:17" x14ac:dyDescent="0.25">
      <c r="B23" s="28" t="s">
        <v>21</v>
      </c>
      <c r="C23" s="33">
        <f>+'2.1 Resultaträkning'!L23</f>
        <v>-11511</v>
      </c>
      <c r="D23" s="29">
        <f>+C23*(1+'3.1 Antaganden'!C17)</f>
        <v>-11722.598449684632</v>
      </c>
      <c r="E23" s="29">
        <f>+D23*(1+'3.1 Antaganden'!D17)</f>
        <v>-11938.086561771222</v>
      </c>
      <c r="F23" s="29">
        <f>+E23*(1+'3.1 Antaganden'!E17)</f>
        <v>-12157.535837131463</v>
      </c>
      <c r="G23" s="29">
        <f>+F23*(1+'3.1 Antaganden'!F17)</f>
        <v>-12381.019090986243</v>
      </c>
      <c r="H23" s="29">
        <f>+G23*(1+'3.1 Antaganden'!G17)</f>
        <v>-12608.610477066384</v>
      </c>
      <c r="I23" s="29">
        <f>+H23*(1+'3.1 Antaganden'!H17)</f>
        <v>-12840.385512217514</v>
      </c>
      <c r="J23" s="29">
        <f>+I23*(1+'3.1 Antaganden'!I17)</f>
        <v>-13076.421101457217</v>
      </c>
      <c r="K23" s="29">
        <f>+J23*(1+'3.1 Antaganden'!J17)</f>
        <v>-13316.795563492813</v>
      </c>
      <c r="L23" s="29">
        <f>+K23*(1+'3.1 Antaganden'!K17)</f>
        <v>-13561.588656708194</v>
      </c>
      <c r="M23" s="29">
        <f>+L23*(1+'3.1 Antaganden'!L17)</f>
        <v>-13810.881605628369</v>
      </c>
      <c r="N23" s="29">
        <f>+M23*(1+'3.1 Antaganden'!M17)</f>
        <v>-14064.75712787048</v>
      </c>
      <c r="O23" s="29">
        <f>+N23*(1+'3.1 Antaganden'!N17)</f>
        <v>-14323.29946159025</v>
      </c>
      <c r="P23" s="29">
        <f>+O23*(1+'3.1 Antaganden'!O17)</f>
        <v>-14586.594393432941</v>
      </c>
      <c r="Q23" s="16"/>
    </row>
    <row r="24" spans="2:17" x14ac:dyDescent="0.25">
      <c r="B24" s="28" t="s">
        <v>22</v>
      </c>
      <c r="C24" s="33">
        <f>+'2.1 Resultaträkning'!L24</f>
        <v>-27831</v>
      </c>
      <c r="D24" s="29">
        <f>+C24*(1+'3.1 Antaganden'!C18)</f>
        <v>-28387.62</v>
      </c>
      <c r="E24" s="29">
        <f>+D24*(1+'3.1 Antaganden'!D18)</f>
        <v>-28955.3724</v>
      </c>
      <c r="F24" s="29">
        <f>+E24*(1+'3.1 Antaganden'!E18)</f>
        <v>-29534.479847999999</v>
      </c>
      <c r="G24" s="29">
        <f>+F24*(1+'3.1 Antaganden'!F18)</f>
        <v>-30125.16944496</v>
      </c>
      <c r="H24" s="29">
        <f>+G24*(1+'3.1 Antaganden'!G18)</f>
        <v>-30727.6728338592</v>
      </c>
      <c r="I24" s="29">
        <f>+H24*(1+'3.1 Antaganden'!H18)</f>
        <v>-31342.226290536386</v>
      </c>
      <c r="J24" s="29">
        <f>+I24*(1+'3.1 Antaganden'!I18)</f>
        <v>-31969.070816347114</v>
      </c>
      <c r="K24" s="29">
        <f>+J24*(1+'3.1 Antaganden'!J18)</f>
        <v>-32608.452232674055</v>
      </c>
      <c r="L24" s="29">
        <f>+K24*(1+'3.1 Antaganden'!K18)</f>
        <v>-33260.62127732754</v>
      </c>
      <c r="M24" s="29">
        <f>+L24*(1+'3.1 Antaganden'!L18)</f>
        <v>-33925.833702874093</v>
      </c>
      <c r="N24" s="29">
        <f>+M24*(1+'3.1 Antaganden'!M18)</f>
        <v>-34604.350376931579</v>
      </c>
      <c r="O24" s="29">
        <f>+N24*(1+'3.1 Antaganden'!N18)</f>
        <v>-35296.437384470213</v>
      </c>
      <c r="P24" s="29">
        <f>+O24*(1+'3.1 Antaganden'!O18)</f>
        <v>-36002.366132159616</v>
      </c>
      <c r="Q24" s="16"/>
    </row>
    <row r="25" spans="2:17" x14ac:dyDescent="0.25">
      <c r="B25" s="28" t="s">
        <v>23</v>
      </c>
      <c r="C25" s="33">
        <f>+'2.1 Resultaträkning'!L25</f>
        <v>-14626</v>
      </c>
      <c r="D25" s="29">
        <f>+C25*(1+'3.1 Antaganden'!C19)</f>
        <v>-14918.52</v>
      </c>
      <c r="E25" s="29">
        <f>+D25*(1+'3.1 Antaganden'!D19)</f>
        <v>-15216.8904</v>
      </c>
      <c r="F25" s="29">
        <f>+E25*(1+'3.1 Antaganden'!E19)</f>
        <v>-15521.228208</v>
      </c>
      <c r="G25" s="29">
        <f>+F25*(1+'3.1 Antaganden'!F19)</f>
        <v>-15831.652772160001</v>
      </c>
      <c r="H25" s="29">
        <f>+G25*(1+'3.1 Antaganden'!G19)</f>
        <v>-16148.285827603202</v>
      </c>
      <c r="I25" s="29">
        <f>+H25*(1+'3.1 Antaganden'!H19)</f>
        <v>-16471.251544155268</v>
      </c>
      <c r="J25" s="29">
        <f>+I25*(1+'3.1 Antaganden'!I19)</f>
        <v>-16800.676575038375</v>
      </c>
      <c r="K25" s="29">
        <f>+J25*(1+'3.1 Antaganden'!J19)</f>
        <v>-17136.690106539143</v>
      </c>
      <c r="L25" s="29">
        <f>+K25*(1+'3.1 Antaganden'!K19)</f>
        <v>-17479.423908669927</v>
      </c>
      <c r="M25" s="29">
        <f>+L25*(1+'3.1 Antaganden'!L19)</f>
        <v>-17829.012386843326</v>
      </c>
      <c r="N25" s="29">
        <f>+M25*(1+'3.1 Antaganden'!M19)</f>
        <v>-18185.592634580193</v>
      </c>
      <c r="O25" s="29">
        <f>+N25*(1+'3.1 Antaganden'!N19)</f>
        <v>-18549.304487271798</v>
      </c>
      <c r="P25" s="29">
        <f>+O25*(1+'3.1 Antaganden'!O19)</f>
        <v>-18920.290577017233</v>
      </c>
      <c r="Q25" s="16"/>
    </row>
    <row r="26" spans="2:17" x14ac:dyDescent="0.25">
      <c r="B26" s="28" t="s">
        <v>24</v>
      </c>
      <c r="C26" s="33">
        <f>+'2.1 Resultaträkning'!L26</f>
        <v>-19582</v>
      </c>
      <c r="D26" s="29">
        <f>+C26*(1+'3.1 Antaganden'!C20)</f>
        <v>-19973.64</v>
      </c>
      <c r="E26" s="29">
        <f>+D26*(1+'3.1 Antaganden'!D20)</f>
        <v>-20373.112799999999</v>
      </c>
      <c r="F26" s="29">
        <f>+E26*(1+'3.1 Antaganden'!E20)</f>
        <v>-20780.575055999998</v>
      </c>
      <c r="G26" s="29">
        <f>+F26*(1+'3.1 Antaganden'!F20)</f>
        <v>-21196.18655712</v>
      </c>
      <c r="H26" s="29">
        <f>+G26*(1+'3.1 Antaganden'!G20)</f>
        <v>-21620.1102882624</v>
      </c>
      <c r="I26" s="29">
        <f>+H26*(1+'3.1 Antaganden'!H20)</f>
        <v>-22052.512494027647</v>
      </c>
      <c r="J26" s="29">
        <f>+I26*(1+'3.1 Antaganden'!I20)</f>
        <v>-22493.562743908202</v>
      </c>
      <c r="K26" s="29">
        <f>+J26*(1+'3.1 Antaganden'!J20)</f>
        <v>-22943.433998786368</v>
      </c>
      <c r="L26" s="29">
        <f>+K26*(1+'3.1 Antaganden'!K20)</f>
        <v>-23402.302678762095</v>
      </c>
      <c r="M26" s="29">
        <f>+L26*(1+'3.1 Antaganden'!L20)</f>
        <v>-23870.348732337337</v>
      </c>
      <c r="N26" s="29">
        <f>+M26*(1+'3.1 Antaganden'!M20)</f>
        <v>-24347.755706984084</v>
      </c>
      <c r="O26" s="29">
        <f>+N26*(1+'3.1 Antaganden'!N20)</f>
        <v>-24834.710821123765</v>
      </c>
      <c r="P26" s="29">
        <f>+O26*(1+'3.1 Antaganden'!O20)</f>
        <v>-25331.405037546239</v>
      </c>
      <c r="Q26" s="16"/>
    </row>
    <row r="27" spans="2:17" x14ac:dyDescent="0.25">
      <c r="B27" s="28" t="s">
        <v>25</v>
      </c>
      <c r="C27" s="33">
        <f>+'2.1 Resultaträkning'!L27</f>
        <v>-14707</v>
      </c>
      <c r="D27" s="29">
        <f>+C27*(1+'3.1 Antaganden'!C21)</f>
        <v>-14768.246158718113</v>
      </c>
      <c r="E27" s="29">
        <f>+D27*(1+'3.1 Antaganden'!D21)</f>
        <v>-14829.747372305183</v>
      </c>
      <c r="F27" s="29">
        <f>+E27*(1+'3.1 Antaganden'!E21)</f>
        <v>-14891.504702917389</v>
      </c>
      <c r="G27" s="29">
        <f>+F27*(1+'3.1 Antaganden'!F21)</f>
        <v>-14953.519217134186</v>
      </c>
      <c r="H27" s="29">
        <f>+G27*(1+'3.1 Antaganden'!G21)</f>
        <v>-15015.791985976708</v>
      </c>
      <c r="I27" s="29">
        <f>+H27*(1+'3.1 Antaganden'!H21)</f>
        <v>-15078.324084926277</v>
      </c>
      <c r="J27" s="29">
        <f>+I27*(1+'3.1 Antaganden'!I21)</f>
        <v>-15141.116593942974</v>
      </c>
      <c r="K27" s="29">
        <f>+J27*(1+'3.1 Antaganden'!J21)</f>
        <v>-15204.170597484288</v>
      </c>
      <c r="L27" s="29">
        <f>+K27*(1+'3.1 Antaganden'!K21)</f>
        <v>-15267.487184523847</v>
      </c>
      <c r="M27" s="29">
        <f>+L27*(1+'3.1 Antaganden'!L21)</f>
        <v>-15331.067448570227</v>
      </c>
      <c r="N27" s="29">
        <f>+M27*(1+'3.1 Antaganden'!M21)</f>
        <v>-15394.912487685835</v>
      </c>
      <c r="O27" s="29">
        <f>+N27*(1+'3.1 Antaganden'!N21)</f>
        <v>-15459.023404505871</v>
      </c>
      <c r="P27" s="29">
        <f>+O27*(1+'3.1 Antaganden'!O21)</f>
        <v>-15523.401306257378</v>
      </c>
      <c r="Q27" s="16"/>
    </row>
    <row r="28" spans="2:17" x14ac:dyDescent="0.25">
      <c r="B28" s="49" t="s">
        <v>26</v>
      </c>
      <c r="C28" s="19">
        <f>+SUM(C17:C27)-1</f>
        <v>-350323</v>
      </c>
      <c r="D28" s="19">
        <f t="shared" ref="D28:O28" si="2">+SUM(D17:D27)</f>
        <v>-357004.52374048234</v>
      </c>
      <c r="E28" s="19">
        <f t="shared" si="2"/>
        <v>-363915.89342668786</v>
      </c>
      <c r="F28" s="19">
        <f t="shared" si="2"/>
        <v>-371066.95818959229</v>
      </c>
      <c r="G28" s="19">
        <f t="shared" si="2"/>
        <v>-365298.88483750529</v>
      </c>
      <c r="H28" s="19">
        <f t="shared" si="2"/>
        <v>-372832.7637476825</v>
      </c>
      <c r="I28" s="19">
        <f t="shared" si="2"/>
        <v>-380641.54238841875</v>
      </c>
      <c r="J28" s="19">
        <f t="shared" si="2"/>
        <v>-388738.85145029012</v>
      </c>
      <c r="K28" s="19">
        <f t="shared" si="2"/>
        <v>-397139.13653214852</v>
      </c>
      <c r="L28" s="19">
        <f t="shared" si="2"/>
        <v>-406058.27330182277</v>
      </c>
      <c r="M28" s="19">
        <f t="shared" si="2"/>
        <v>-415317.95425298769</v>
      </c>
      <c r="N28" s="19">
        <f t="shared" si="2"/>
        <v>-424935.54239591892</v>
      </c>
      <c r="O28" s="19">
        <f t="shared" si="2"/>
        <v>-434929.45301549596</v>
      </c>
      <c r="P28" s="19">
        <f t="shared" ref="P28" si="3">+SUM(P17:P27)</f>
        <v>-445319.22262270626</v>
      </c>
      <c r="Q28" s="16"/>
    </row>
    <row r="29" spans="2:17" x14ac:dyDescent="0.25">
      <c r="B29" s="1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x14ac:dyDescent="0.25">
      <c r="B30" s="49" t="s">
        <v>27</v>
      </c>
      <c r="C30" s="19">
        <f>+C28+C14</f>
        <v>255414</v>
      </c>
      <c r="D30" s="19">
        <f t="shared" ref="D30:P30" si="4">+D28+D14</f>
        <v>273655.67287457822</v>
      </c>
      <c r="E30" s="19">
        <f t="shared" si="4"/>
        <v>291857.65572888782</v>
      </c>
      <c r="F30" s="19">
        <f t="shared" si="4"/>
        <v>310824.75643140386</v>
      </c>
      <c r="G30" s="19">
        <f t="shared" si="4"/>
        <v>343756.01188534894</v>
      </c>
      <c r="H30" s="19">
        <f t="shared" si="4"/>
        <v>364472.14402291243</v>
      </c>
      <c r="I30" s="19">
        <f t="shared" si="4"/>
        <v>372447.15646575502</v>
      </c>
      <c r="J30" s="19">
        <f t="shared" si="4"/>
        <v>380493.38581826264</v>
      </c>
      <c r="K30" s="19">
        <f t="shared" si="4"/>
        <v>388605.3508646852</v>
      </c>
      <c r="L30" s="19">
        <f t="shared" si="4"/>
        <v>396576.39064944274</v>
      </c>
      <c r="M30" s="19">
        <f t="shared" si="4"/>
        <v>404594.28557909949</v>
      </c>
      <c r="N30" s="19">
        <f t="shared" si="4"/>
        <v>412651.41186214535</v>
      </c>
      <c r="O30" s="19">
        <f t="shared" si="4"/>
        <v>420739.36816325184</v>
      </c>
      <c r="P30" s="19">
        <f t="shared" si="4"/>
        <v>428848.91535617056</v>
      </c>
      <c r="Q30" s="16"/>
    </row>
    <row r="31" spans="2:17" x14ac:dyDescent="0.25">
      <c r="B31" s="10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x14ac:dyDescent="0.25">
      <c r="B32" s="13" t="s">
        <v>28</v>
      </c>
      <c r="C32" s="33">
        <f>+'2.1 Resultaträkning'!L32</f>
        <v>-221612</v>
      </c>
      <c r="D32" s="33">
        <f>+'3.1 Antaganden'!C101</f>
        <v>-243923.80905797103</v>
      </c>
      <c r="E32" s="33">
        <f>+'3.1 Antaganden'!D101</f>
        <v>-223050.80905797103</v>
      </c>
      <c r="F32" s="33">
        <f>+'3.1 Antaganden'!E101</f>
        <v>-230550.80905797103</v>
      </c>
      <c r="G32" s="33">
        <f>+'3.1 Antaganden'!F101</f>
        <v>-230542.14239130437</v>
      </c>
      <c r="H32" s="33">
        <f>+'3.1 Antaganden'!G101</f>
        <v>-222202.87572463771</v>
      </c>
      <c r="I32" s="33">
        <f>+'3.1 Antaganden'!H101</f>
        <v>-222202.87572463771</v>
      </c>
      <c r="J32" s="33">
        <f>+'3.1 Antaganden'!I101</f>
        <v>-214005.87572463771</v>
      </c>
      <c r="K32" s="33">
        <f>+'3.1 Antaganden'!J101</f>
        <v>-205827.87572463771</v>
      </c>
      <c r="L32" s="33">
        <f>+'3.1 Antaganden'!K101</f>
        <v>-205827.87572463771</v>
      </c>
      <c r="M32" s="33">
        <f>+'3.1 Antaganden'!L101</f>
        <v>-205827.87572463771</v>
      </c>
      <c r="N32" s="33">
        <f>+'3.1 Antaganden'!M101</f>
        <v>-205827.87572463771</v>
      </c>
      <c r="O32" s="33">
        <f>+'3.1 Antaganden'!N101</f>
        <v>-205827.87572463771</v>
      </c>
      <c r="P32" s="33">
        <f>+'3.1 Antaganden'!O101</f>
        <v>-205827.87572463771</v>
      </c>
      <c r="Q32" s="16"/>
    </row>
    <row r="33" spans="2:17" x14ac:dyDescent="0.25">
      <c r="B33" s="10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2:17" x14ac:dyDescent="0.25">
      <c r="B34" s="49" t="s">
        <v>29</v>
      </c>
      <c r="C34" s="19">
        <f>+C32+C30</f>
        <v>33802</v>
      </c>
      <c r="D34" s="19">
        <f t="shared" ref="D34:P34" si="5">+D32+D30</f>
        <v>29731.863816607191</v>
      </c>
      <c r="E34" s="19">
        <f t="shared" si="5"/>
        <v>68806.846670916799</v>
      </c>
      <c r="F34" s="19">
        <f t="shared" si="5"/>
        <v>80273.947373432835</v>
      </c>
      <c r="G34" s="19">
        <f t="shared" si="5"/>
        <v>113213.86949404457</v>
      </c>
      <c r="H34" s="19">
        <f t="shared" si="5"/>
        <v>142269.26829827472</v>
      </c>
      <c r="I34" s="19">
        <f t="shared" si="5"/>
        <v>150244.28074111731</v>
      </c>
      <c r="J34" s="19">
        <f t="shared" si="5"/>
        <v>166487.51009362494</v>
      </c>
      <c r="K34" s="19">
        <f t="shared" si="5"/>
        <v>182777.47514004749</v>
      </c>
      <c r="L34" s="19">
        <f t="shared" si="5"/>
        <v>190748.51492480503</v>
      </c>
      <c r="M34" s="19">
        <f t="shared" si="5"/>
        <v>198766.40985446179</v>
      </c>
      <c r="N34" s="19">
        <f t="shared" si="5"/>
        <v>206823.53613750765</v>
      </c>
      <c r="O34" s="19">
        <f t="shared" si="5"/>
        <v>214911.49243861414</v>
      </c>
      <c r="P34" s="19">
        <f t="shared" si="5"/>
        <v>223021.03963153285</v>
      </c>
      <c r="Q34" s="16"/>
    </row>
    <row r="35" spans="2:17" x14ac:dyDescent="0.25">
      <c r="B35" s="1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2:17" x14ac:dyDescent="0.25">
      <c r="B36" s="50" t="s">
        <v>30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2:17" x14ac:dyDescent="0.25">
      <c r="B37" s="10" t="s">
        <v>31</v>
      </c>
      <c r="C37" s="33">
        <f>+'2.1 Resultaträkning'!L37</f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16"/>
    </row>
    <row r="38" spans="2:17" x14ac:dyDescent="0.25">
      <c r="B38" s="10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6"/>
    </row>
    <row r="39" spans="2:17" x14ac:dyDescent="0.25">
      <c r="B39" s="10" t="s">
        <v>32</v>
      </c>
      <c r="C39" s="33">
        <f>+'2.1 Resultaträkning'!L39</f>
        <v>-91992</v>
      </c>
      <c r="D39" s="33">
        <f>-'3.3 Balansräkning'!D41*'3.1 Antaganden'!C26</f>
        <v>-88366.844799999992</v>
      </c>
      <c r="E39" s="33">
        <f>-'3.3 Balansräkning'!E41*'3.1 Antaganden'!D26</f>
        <v>-92309.365567999994</v>
      </c>
      <c r="F39" s="33">
        <f>-'3.3 Balansräkning'!F41*'3.1 Antaganden'!E26</f>
        <v>-96924.833846399997</v>
      </c>
      <c r="G39" s="33">
        <f>-'3.3 Balansräkning'!G41*'3.1 Antaganden'!F26</f>
        <v>-101318.7596474368</v>
      </c>
      <c r="H39" s="33">
        <f>-'3.3 Balansräkning'!H41*'3.1 Antaganden'!G26</f>
        <v>-105498.15848289356</v>
      </c>
      <c r="I39" s="33">
        <f>-'3.3 Balansräkning'!I41*'3.1 Antaganden'!H26</f>
        <v>-108352.81453596009</v>
      </c>
      <c r="J39" s="33">
        <f>-'3.3 Balansräkning'!J41*'3.1 Antaganden'!I26</f>
        <v>-109797.5187297729</v>
      </c>
      <c r="K39" s="33">
        <f>-'3.3 Balansräkning'!K41*'3.1 Antaganden'!J26</f>
        <v>-110953.28208482313</v>
      </c>
      <c r="L39" s="33">
        <f>-'3.3 Balansräkning'!L41*'3.1 Antaganden'!K26</f>
        <v>-111840.90834150174</v>
      </c>
      <c r="M39" s="33">
        <f>-'3.3 Balansräkning'!M41*'3.1 Antaganden'!L26</f>
        <v>-111308.33258749457</v>
      </c>
      <c r="N39" s="33">
        <f>-'3.3 Balansräkning'!N41*'3.1 Antaganden'!M26</f>
        <v>-110549.41213803439</v>
      </c>
      <c r="O39" s="33">
        <f>-'3.3 Balansräkning'!O41*'3.1 Antaganden'!N26</f>
        <v>-109588.11290205146</v>
      </c>
      <c r="P39" s="33">
        <f>-'3.3 Balansräkning'!Q41*'3.1 Antaganden'!O26</f>
        <v>0</v>
      </c>
      <c r="Q39" s="16"/>
    </row>
    <row r="40" spans="2:17" x14ac:dyDescent="0.25">
      <c r="B40" s="10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</row>
    <row r="41" spans="2:17" x14ac:dyDescent="0.25">
      <c r="B41" s="49" t="s">
        <v>33</v>
      </c>
      <c r="C41" s="19">
        <f>+C39+C37+C34</f>
        <v>-58190</v>
      </c>
      <c r="D41" s="19">
        <f t="shared" ref="D41:P41" si="6">+D39+D37+D34</f>
        <v>-58634.980983392801</v>
      </c>
      <c r="E41" s="19">
        <f t="shared" si="6"/>
        <v>-23502.518897083195</v>
      </c>
      <c r="F41" s="19">
        <f t="shared" si="6"/>
        <v>-16650.886472967162</v>
      </c>
      <c r="G41" s="19">
        <f t="shared" si="6"/>
        <v>11895.109846607767</v>
      </c>
      <c r="H41" s="19">
        <f t="shared" si="6"/>
        <v>36771.109815381162</v>
      </c>
      <c r="I41" s="19">
        <f t="shared" si="6"/>
        <v>41891.466205157223</v>
      </c>
      <c r="J41" s="19">
        <f t="shared" si="6"/>
        <v>56689.991363852037</v>
      </c>
      <c r="K41" s="19">
        <f t="shared" si="6"/>
        <v>71824.193055224358</v>
      </c>
      <c r="L41" s="19">
        <f t="shared" si="6"/>
        <v>78907.606583303292</v>
      </c>
      <c r="M41" s="19">
        <f t="shared" si="6"/>
        <v>87458.077266967215</v>
      </c>
      <c r="N41" s="19">
        <f t="shared" si="6"/>
        <v>96274.12399947326</v>
      </c>
      <c r="O41" s="19">
        <f t="shared" si="6"/>
        <v>105323.37953656267</v>
      </c>
      <c r="P41" s="19">
        <f t="shared" si="6"/>
        <v>223021.03963153285</v>
      </c>
      <c r="Q41" s="16"/>
    </row>
    <row r="42" spans="2:17" x14ac:dyDescent="0.25">
      <c r="B42" s="10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2:17" ht="15.75" thickBot="1" x14ac:dyDescent="0.3">
      <c r="B43" s="51" t="s">
        <v>0</v>
      </c>
      <c r="C43" s="26">
        <f>+C41</f>
        <v>-58190</v>
      </c>
      <c r="D43" s="26">
        <f t="shared" ref="D43:P43" si="7">+D41</f>
        <v>-58634.980983392801</v>
      </c>
      <c r="E43" s="26">
        <f t="shared" si="7"/>
        <v>-23502.518897083195</v>
      </c>
      <c r="F43" s="26">
        <f t="shared" si="7"/>
        <v>-16650.886472967162</v>
      </c>
      <c r="G43" s="26">
        <f t="shared" si="7"/>
        <v>11895.109846607767</v>
      </c>
      <c r="H43" s="26">
        <f t="shared" si="7"/>
        <v>36771.109815381162</v>
      </c>
      <c r="I43" s="26">
        <f t="shared" si="7"/>
        <v>41891.466205157223</v>
      </c>
      <c r="J43" s="26">
        <f t="shared" si="7"/>
        <v>56689.991363852037</v>
      </c>
      <c r="K43" s="26">
        <f t="shared" si="7"/>
        <v>71824.193055224358</v>
      </c>
      <c r="L43" s="26">
        <f t="shared" si="7"/>
        <v>78907.606583303292</v>
      </c>
      <c r="M43" s="26">
        <f t="shared" si="7"/>
        <v>87458.077266967215</v>
      </c>
      <c r="N43" s="26">
        <f t="shared" si="7"/>
        <v>96274.12399947326</v>
      </c>
      <c r="O43" s="26">
        <f t="shared" si="7"/>
        <v>105323.37953656267</v>
      </c>
      <c r="P43" s="26">
        <f t="shared" si="7"/>
        <v>223021.03963153285</v>
      </c>
      <c r="Q43" s="16"/>
    </row>
    <row r="44" spans="2:17" x14ac:dyDescent="0.25"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</row>
    <row r="45" spans="2:17" x14ac:dyDescent="0.25"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</row>
    <row r="46" spans="2:17" x14ac:dyDescent="0.25"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</row>
    <row r="47" spans="2:17" hidden="1" x14ac:dyDescent="0.25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2:17" hidden="1" x14ac:dyDescent="0.25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hidden="1" x14ac:dyDescent="0.25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  <row r="50" spans="3:17" hidden="1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7" hidden="1" x14ac:dyDescent="0.25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7" hidden="1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7" hidden="1" x14ac:dyDescent="0.25"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</row>
    <row r="54" spans="3:17" hidden="1" x14ac:dyDescent="0.25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</row>
    <row r="55" spans="3:17" hidden="1" x14ac:dyDescent="0.25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</row>
    <row r="56" spans="3:17" hidden="1" x14ac:dyDescent="0.25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</row>
    <row r="57" spans="3:17" hidden="1" x14ac:dyDescent="0.25"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</row>
    <row r="58" spans="3:17" hidden="1" x14ac:dyDescent="0.25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</row>
    <row r="59" spans="3:17" hidden="1" x14ac:dyDescent="0.25"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</row>
    <row r="60" spans="3:17" hidden="1" x14ac:dyDescent="0.25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</row>
    <row r="61" spans="3:17" hidden="1" x14ac:dyDescent="0.25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</row>
    <row r="62" spans="3:17" hidden="1" x14ac:dyDescent="0.25"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</row>
    <row r="63" spans="3:17" hidden="1" x14ac:dyDescent="0.25"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</row>
    <row r="64" spans="3:17" hidden="1" x14ac:dyDescent="0.25"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</row>
    <row r="65" spans="3:17" hidden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</row>
    <row r="66" spans="3:17" hidden="1" x14ac:dyDescent="0.25"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</row>
    <row r="67" spans="3:17" hidden="1" x14ac:dyDescent="0.25"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</row>
    <row r="68" spans="3:17" hidden="1" x14ac:dyDescent="0.25"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</row>
    <row r="69" spans="3:17" hidden="1" x14ac:dyDescent="0.25"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</row>
    <row r="70" spans="3:17" hidden="1" x14ac:dyDescent="0.25"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</row>
    <row r="71" spans="3:17" hidden="1" x14ac:dyDescent="0.25"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</row>
    <row r="72" spans="3:17" hidden="1" x14ac:dyDescent="0.25"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</row>
    <row r="73" spans="3:17" hidden="1" x14ac:dyDescent="0.25"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</row>
    <row r="74" spans="3:17" hidden="1" x14ac:dyDescent="0.25"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</row>
    <row r="75" spans="3:17" hidden="1" x14ac:dyDescent="0.25"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</row>
    <row r="76" spans="3:17" hidden="1" x14ac:dyDescent="0.25"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</row>
    <row r="77" spans="3:17" hidden="1" x14ac:dyDescent="0.25"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</row>
    <row r="78" spans="3:17" hidden="1" x14ac:dyDescent="0.25"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3:17" hidden="1" x14ac:dyDescent="0.25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</row>
    <row r="80" spans="3:17" hidden="1" x14ac:dyDescent="0.25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3:17" hidden="1" x14ac:dyDescent="0.25"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</row>
    <row r="82" spans="3:17" hidden="1" x14ac:dyDescent="0.25"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</row>
    <row r="83" spans="3:17" hidden="1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</row>
    <row r="84" spans="3:17" hidden="1" x14ac:dyDescent="0.25"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</row>
    <row r="85" spans="3:17" hidden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</row>
    <row r="86" spans="3:17" hidden="1" x14ac:dyDescent="0.25"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</row>
    <row r="87" spans="3:17" hidden="1" x14ac:dyDescent="0.25"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</row>
    <row r="88" spans="3:17" hidden="1" x14ac:dyDescent="0.25"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</row>
    <row r="89" spans="3:17" hidden="1" x14ac:dyDescent="0.25"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</row>
    <row r="90" spans="3:17" hidden="1" x14ac:dyDescent="0.25"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</row>
    <row r="91" spans="3:17" hidden="1" x14ac:dyDescent="0.25"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</row>
    <row r="92" spans="3:17" hidden="1" x14ac:dyDescent="0.25"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</row>
    <row r="93" spans="3:17" hidden="1" x14ac:dyDescent="0.25"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</row>
    <row r="94" spans="3:17" hidden="1" x14ac:dyDescent="0.25"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</row>
    <row r="95" spans="3:17" hidden="1" x14ac:dyDescent="0.25"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3:17" hidden="1" x14ac:dyDescent="0.25"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</row>
    <row r="97" spans="3:17" hidden="1" x14ac:dyDescent="0.25"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3:17" hidden="1" x14ac:dyDescent="0.25"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</row>
    <row r="99" spans="3:17" hidden="1" x14ac:dyDescent="0.25"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</row>
    <row r="100" spans="3:17" hidden="1" x14ac:dyDescent="0.25"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</row>
    <row r="101" spans="3:17" hidden="1" x14ac:dyDescent="0.25"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</row>
    <row r="102" spans="3:17" hidden="1" x14ac:dyDescent="0.25"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</row>
    <row r="103" spans="3:17" hidden="1" x14ac:dyDescent="0.25"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</row>
    <row r="104" spans="3:17" hidden="1" x14ac:dyDescent="0.25"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3:17" hidden="1" x14ac:dyDescent="0.25"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</row>
    <row r="106" spans="3:17" hidden="1" x14ac:dyDescent="0.25"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3:17" hidden="1" x14ac:dyDescent="0.25"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</row>
    <row r="108" spans="3:17" hidden="1" x14ac:dyDescent="0.25"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3:17" hidden="1" x14ac:dyDescent="0.25"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</row>
    <row r="110" spans="3:17" hidden="1" x14ac:dyDescent="0.25"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</row>
    <row r="111" spans="3:17" hidden="1" x14ac:dyDescent="0.25"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</row>
    <row r="112" spans="3:17" hidden="1" x14ac:dyDescent="0.25"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</row>
    <row r="113" spans="3:17" hidden="1" x14ac:dyDescent="0.25"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</row>
    <row r="114" spans="3:17" hidden="1" x14ac:dyDescent="0.25"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3:17" hidden="1" x14ac:dyDescent="0.25"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</row>
    <row r="116" spans="3:17" hidden="1" x14ac:dyDescent="0.25"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3:17" hidden="1" x14ac:dyDescent="0.25"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</row>
    <row r="118" spans="3:17" hidden="1" x14ac:dyDescent="0.25"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</row>
    <row r="119" spans="3:17" hidden="1" x14ac:dyDescent="0.25"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</row>
    <row r="120" spans="3:17" hidden="1" x14ac:dyDescent="0.25"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</row>
    <row r="121" spans="3:17" hidden="1" x14ac:dyDescent="0.25"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</row>
    <row r="122" spans="3:17" hidden="1" x14ac:dyDescent="0.25"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</row>
    <row r="123" spans="3:17" hidden="1" x14ac:dyDescent="0.25"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</row>
    <row r="124" spans="3:17" hidden="1" x14ac:dyDescent="0.25"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</row>
    <row r="125" spans="3:17" hidden="1" x14ac:dyDescent="0.25"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</row>
    <row r="126" spans="3:17" hidden="1" x14ac:dyDescent="0.25"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</row>
    <row r="127" spans="3:17" hidden="1" x14ac:dyDescent="0.25"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</row>
    <row r="128" spans="3:17" hidden="1" x14ac:dyDescent="0.25"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</row>
    <row r="129" spans="3:17" hidden="1" x14ac:dyDescent="0.25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</row>
    <row r="130" spans="3:17" hidden="1" x14ac:dyDescent="0.25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</row>
    <row r="131" spans="3:17" hidden="1" x14ac:dyDescent="0.25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</row>
    <row r="132" spans="3:17" hidden="1" x14ac:dyDescent="0.25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</row>
    <row r="133" spans="3:17" hidden="1" x14ac:dyDescent="0.25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</row>
    <row r="134" spans="3:17" hidden="1" x14ac:dyDescent="0.25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</row>
    <row r="135" spans="3:17" hidden="1" x14ac:dyDescent="0.2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</row>
    <row r="136" spans="3:17" hidden="1" x14ac:dyDescent="0.25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</row>
    <row r="137" spans="3:17" hidden="1" x14ac:dyDescent="0.25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</row>
    <row r="138" spans="3:17" hidden="1" x14ac:dyDescent="0.25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</row>
    <row r="139" spans="3:17" hidden="1" x14ac:dyDescent="0.25"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</row>
    <row r="140" spans="3:17" hidden="1" x14ac:dyDescent="0.25"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3:17" hidden="1" x14ac:dyDescent="0.25"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52"/>
  <sheetViews>
    <sheetView zoomScale="80" zoomScaleNormal="80" workbookViewId="0">
      <pane xSplit="2" ySplit="6" topLeftCell="C15" activePane="bottomRight" state="frozen"/>
      <selection pane="topRight" activeCell="B1" sqref="B1"/>
      <selection pane="bottomLeft" activeCell="A7" sqref="A7"/>
      <selection pane="bottomRight" activeCell="C11" sqref="C11"/>
    </sheetView>
  </sheetViews>
  <sheetFormatPr defaultColWidth="0" defaultRowHeight="15" zeroHeight="1" x14ac:dyDescent="0.25"/>
  <cols>
    <col min="1" max="1" width="9.140625" style="1" customWidth="1"/>
    <col min="2" max="2" width="33.7109375" style="1" bestFit="1" customWidth="1"/>
    <col min="3" max="17" width="14.7109375" style="1" customWidth="1"/>
    <col min="18" max="16384" width="9.140625" style="1" hidden="1"/>
  </cols>
  <sheetData>
    <row r="1" spans="2:17" ht="18" x14ac:dyDescent="0.25">
      <c r="B1" s="8" t="s">
        <v>141</v>
      </c>
    </row>
    <row r="2" spans="2:17" x14ac:dyDescent="0.25">
      <c r="B2" s="9"/>
    </row>
    <row r="3" spans="2:17" x14ac:dyDescent="0.25">
      <c r="B3" s="9"/>
    </row>
    <row r="4" spans="2:17" x14ac:dyDescent="0.25">
      <c r="B4" s="9"/>
    </row>
    <row r="5" spans="2:17" x14ac:dyDescent="0.25">
      <c r="B5" s="10"/>
    </row>
    <row r="6" spans="2:17" ht="30.75" thickBot="1" x14ac:dyDescent="0.3">
      <c r="B6" s="11"/>
      <c r="C6" s="17" t="s">
        <v>120</v>
      </c>
      <c r="D6" s="17" t="s">
        <v>121</v>
      </c>
      <c r="E6" s="17" t="s">
        <v>122</v>
      </c>
      <c r="F6" s="17" t="s">
        <v>123</v>
      </c>
      <c r="G6" s="17" t="s">
        <v>124</v>
      </c>
      <c r="H6" s="17" t="s">
        <v>125</v>
      </c>
      <c r="I6" s="17" t="s">
        <v>126</v>
      </c>
      <c r="J6" s="17" t="s">
        <v>127</v>
      </c>
      <c r="K6" s="17" t="s">
        <v>128</v>
      </c>
      <c r="L6" s="17" t="s">
        <v>129</v>
      </c>
      <c r="M6" s="17" t="s">
        <v>130</v>
      </c>
      <c r="N6" s="17" t="s">
        <v>131</v>
      </c>
      <c r="O6" s="17" t="s">
        <v>132</v>
      </c>
      <c r="P6" s="17" t="s">
        <v>148</v>
      </c>
    </row>
    <row r="7" spans="2:17" ht="15.75" x14ac:dyDescent="0.25">
      <c r="B7" s="23" t="s">
        <v>44</v>
      </c>
    </row>
    <row r="8" spans="2:17" x14ac:dyDescent="0.25">
      <c r="B8" s="50" t="s">
        <v>45</v>
      </c>
    </row>
    <row r="9" spans="2:17" x14ac:dyDescent="0.25">
      <c r="B9" s="52" t="s">
        <v>46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B10" s="13" t="s">
        <v>47</v>
      </c>
      <c r="C10" s="33">
        <f>+C11+C12</f>
        <v>1063000</v>
      </c>
      <c r="D10" s="33">
        <f>+D11+D12</f>
        <v>1063000</v>
      </c>
      <c r="E10" s="33">
        <f>+E11+E12</f>
        <v>1063000</v>
      </c>
      <c r="F10" s="33">
        <f>+F11+F12</f>
        <v>1063000</v>
      </c>
      <c r="G10" s="33">
        <f t="shared" ref="G10:O10" si="0">+G11+G12</f>
        <v>1063000</v>
      </c>
      <c r="H10" s="33">
        <f t="shared" si="0"/>
        <v>1063000</v>
      </c>
      <c r="I10" s="33">
        <f t="shared" si="0"/>
        <v>1063000</v>
      </c>
      <c r="J10" s="33">
        <f t="shared" si="0"/>
        <v>1063000</v>
      </c>
      <c r="K10" s="33">
        <f t="shared" si="0"/>
        <v>1063000</v>
      </c>
      <c r="L10" s="33">
        <f t="shared" si="0"/>
        <v>1063000</v>
      </c>
      <c r="M10" s="33">
        <f t="shared" si="0"/>
        <v>1063000</v>
      </c>
      <c r="N10" s="33">
        <f t="shared" si="0"/>
        <v>1063000</v>
      </c>
      <c r="O10" s="33">
        <f t="shared" si="0"/>
        <v>1063000</v>
      </c>
      <c r="P10" s="33">
        <f t="shared" ref="P10" si="1">+P11+P12</f>
        <v>1063000</v>
      </c>
      <c r="Q10" s="16"/>
    </row>
    <row r="11" spans="2:17" x14ac:dyDescent="0.25">
      <c r="B11" s="30" t="s">
        <v>48</v>
      </c>
      <c r="C11" s="29">
        <f>+'2.2 Balansräkning'!K10</f>
        <v>1063000</v>
      </c>
      <c r="D11" s="29">
        <f>+C10</f>
        <v>1063000</v>
      </c>
      <c r="E11" s="29">
        <f>+D10</f>
        <v>1063000</v>
      </c>
      <c r="F11" s="29">
        <f>+E10</f>
        <v>1063000</v>
      </c>
      <c r="G11" s="29">
        <f t="shared" ref="G11:P11" si="2">+F10</f>
        <v>1063000</v>
      </c>
      <c r="H11" s="29">
        <f t="shared" si="2"/>
        <v>1063000</v>
      </c>
      <c r="I11" s="29">
        <f t="shared" si="2"/>
        <v>1063000</v>
      </c>
      <c r="J11" s="29">
        <f t="shared" si="2"/>
        <v>1063000</v>
      </c>
      <c r="K11" s="29">
        <f t="shared" si="2"/>
        <v>1063000</v>
      </c>
      <c r="L11" s="29">
        <f t="shared" si="2"/>
        <v>1063000</v>
      </c>
      <c r="M11" s="29">
        <f t="shared" si="2"/>
        <v>1063000</v>
      </c>
      <c r="N11" s="29">
        <f t="shared" si="2"/>
        <v>1063000</v>
      </c>
      <c r="O11" s="29">
        <f t="shared" si="2"/>
        <v>1063000</v>
      </c>
      <c r="P11" s="29">
        <f t="shared" si="2"/>
        <v>1063000</v>
      </c>
      <c r="Q11" s="16"/>
    </row>
    <row r="12" spans="2:17" x14ac:dyDescent="0.25">
      <c r="B12" s="31" t="s">
        <v>49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16"/>
    </row>
    <row r="13" spans="2:17" x14ac:dyDescent="0.25">
      <c r="B13" s="10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2:17" x14ac:dyDescent="0.25">
      <c r="B14" s="13" t="s">
        <v>50</v>
      </c>
      <c r="C14" s="33">
        <f>+SUM(C15:C17)</f>
        <v>6366598</v>
      </c>
      <c r="D14" s="33">
        <f t="shared" ref="D14:O14" si="3">+SUM(D15:D17)</f>
        <v>6122674.1909420285</v>
      </c>
      <c r="E14" s="33">
        <f t="shared" si="3"/>
        <v>5899623.3818840571</v>
      </c>
      <c r="F14" s="33">
        <f t="shared" si="3"/>
        <v>5669072.5728260856</v>
      </c>
      <c r="G14" s="33">
        <f t="shared" si="3"/>
        <v>5588530.4304347811</v>
      </c>
      <c r="H14" s="33">
        <f t="shared" si="3"/>
        <v>5366327.5547101432</v>
      </c>
      <c r="I14" s="33">
        <f t="shared" si="3"/>
        <v>5144124.6789855054</v>
      </c>
      <c r="J14" s="33">
        <f t="shared" si="3"/>
        <v>4930118.8032608675</v>
      </c>
      <c r="K14" s="33">
        <f t="shared" si="3"/>
        <v>4724290.9275362296</v>
      </c>
      <c r="L14" s="33">
        <f t="shared" si="3"/>
        <v>4518463.0518115917</v>
      </c>
      <c r="M14" s="33">
        <f t="shared" si="3"/>
        <v>4312635.1760869538</v>
      </c>
      <c r="N14" s="33">
        <f t="shared" si="3"/>
        <v>4106807.300362316</v>
      </c>
      <c r="O14" s="33">
        <f t="shared" si="3"/>
        <v>3900979.4246376781</v>
      </c>
      <c r="P14" s="33">
        <f t="shared" ref="P14" si="4">+SUM(P15:P17)</f>
        <v>3695151.5489130402</v>
      </c>
      <c r="Q14" s="16"/>
    </row>
    <row r="15" spans="2:17" x14ac:dyDescent="0.25">
      <c r="B15" s="30" t="s">
        <v>48</v>
      </c>
      <c r="C15" s="29">
        <f>+'2.2 Balansräkning'!K14</f>
        <v>4770990</v>
      </c>
      <c r="D15" s="29">
        <f>+C14</f>
        <v>6366598</v>
      </c>
      <c r="E15" s="29">
        <f t="shared" ref="E15:P15" si="5">+D14</f>
        <v>6122674.1909420285</v>
      </c>
      <c r="F15" s="29">
        <f t="shared" si="5"/>
        <v>5899623.3818840571</v>
      </c>
      <c r="G15" s="29">
        <f t="shared" si="5"/>
        <v>5669072.5728260856</v>
      </c>
      <c r="H15" s="29">
        <f t="shared" si="5"/>
        <v>5588530.4304347811</v>
      </c>
      <c r="I15" s="29">
        <f t="shared" si="5"/>
        <v>5366327.5547101432</v>
      </c>
      <c r="J15" s="29">
        <f t="shared" si="5"/>
        <v>5144124.6789855054</v>
      </c>
      <c r="K15" s="29">
        <f t="shared" si="5"/>
        <v>4930118.8032608675</v>
      </c>
      <c r="L15" s="29">
        <f t="shared" si="5"/>
        <v>4724290.9275362296</v>
      </c>
      <c r="M15" s="29">
        <f t="shared" si="5"/>
        <v>4518463.0518115917</v>
      </c>
      <c r="N15" s="29">
        <f t="shared" si="5"/>
        <v>4312635.1760869538</v>
      </c>
      <c r="O15" s="29">
        <f t="shared" si="5"/>
        <v>4106807.300362316</v>
      </c>
      <c r="P15" s="29">
        <f t="shared" si="5"/>
        <v>3900979.4246376781</v>
      </c>
      <c r="Q15" s="16"/>
    </row>
    <row r="16" spans="2:17" x14ac:dyDescent="0.25">
      <c r="B16" s="30" t="s">
        <v>51</v>
      </c>
      <c r="C16" s="33">
        <f>+'2.2 Balansräkning'!L16</f>
        <v>1817220</v>
      </c>
      <c r="D16" s="29">
        <v>0</v>
      </c>
      <c r="E16" s="29">
        <v>0</v>
      </c>
      <c r="F16" s="29">
        <v>0</v>
      </c>
      <c r="G16" s="29">
        <f>+'3.1 Antaganden'!D53</f>
        <v>150000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16"/>
    </row>
    <row r="17" spans="2:17" x14ac:dyDescent="0.25">
      <c r="B17" s="31" t="s">
        <v>49</v>
      </c>
      <c r="C17" s="33">
        <f>+'2.2 Balansräkning'!L17</f>
        <v>-221612</v>
      </c>
      <c r="D17" s="29">
        <f>+'3.1 Antaganden'!C101</f>
        <v>-243923.80905797103</v>
      </c>
      <c r="E17" s="29">
        <f>+'3.1 Antaganden'!D101</f>
        <v>-223050.80905797103</v>
      </c>
      <c r="F17" s="29">
        <f>+'3.1 Antaganden'!E101</f>
        <v>-230550.80905797103</v>
      </c>
      <c r="G17" s="29">
        <f>+'3.1 Antaganden'!F101</f>
        <v>-230542.14239130437</v>
      </c>
      <c r="H17" s="29">
        <f>+'3.1 Antaganden'!G101</f>
        <v>-222202.87572463771</v>
      </c>
      <c r="I17" s="29">
        <f>+'3.1 Antaganden'!H101</f>
        <v>-222202.87572463771</v>
      </c>
      <c r="J17" s="29">
        <f>+'3.1 Antaganden'!I101</f>
        <v>-214005.87572463771</v>
      </c>
      <c r="K17" s="29">
        <f>+'3.1 Antaganden'!J101</f>
        <v>-205827.87572463771</v>
      </c>
      <c r="L17" s="29">
        <f>+'3.1 Antaganden'!K101</f>
        <v>-205827.87572463771</v>
      </c>
      <c r="M17" s="29">
        <f>+'3.1 Antaganden'!L101</f>
        <v>-205827.87572463771</v>
      </c>
      <c r="N17" s="29">
        <f>+'3.1 Antaganden'!M101</f>
        <v>-205827.87572463771</v>
      </c>
      <c r="O17" s="29">
        <f>+'3.1 Antaganden'!N101</f>
        <v>-205827.87572463771</v>
      </c>
      <c r="P17" s="29">
        <f>+'3.1 Antaganden'!O101</f>
        <v>-205827.87572463771</v>
      </c>
      <c r="Q17" s="16"/>
    </row>
    <row r="18" spans="2:17" x14ac:dyDescent="0.25">
      <c r="B18" s="10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2:17" x14ac:dyDescent="0.25">
      <c r="B19" s="49" t="s">
        <v>52</v>
      </c>
      <c r="C19" s="19">
        <f>+C14+C10</f>
        <v>7429598</v>
      </c>
      <c r="D19" s="19">
        <f t="shared" ref="D19:O19" si="6">+D14+D10</f>
        <v>7185674.1909420285</v>
      </c>
      <c r="E19" s="19">
        <f t="shared" si="6"/>
        <v>6962623.3818840571</v>
      </c>
      <c r="F19" s="19">
        <f t="shared" si="6"/>
        <v>6732072.5728260856</v>
      </c>
      <c r="G19" s="19">
        <f t="shared" si="6"/>
        <v>6651530.4304347811</v>
      </c>
      <c r="H19" s="19">
        <f t="shared" si="6"/>
        <v>6429327.5547101432</v>
      </c>
      <c r="I19" s="19">
        <f t="shared" si="6"/>
        <v>6207124.6789855054</v>
      </c>
      <c r="J19" s="19">
        <f t="shared" si="6"/>
        <v>5993118.8032608675</v>
      </c>
      <c r="K19" s="19">
        <f t="shared" si="6"/>
        <v>5787290.9275362296</v>
      </c>
      <c r="L19" s="19">
        <f t="shared" si="6"/>
        <v>5581463.0518115917</v>
      </c>
      <c r="M19" s="19">
        <f t="shared" si="6"/>
        <v>5375635.1760869538</v>
      </c>
      <c r="N19" s="19">
        <f t="shared" si="6"/>
        <v>5169807.300362316</v>
      </c>
      <c r="O19" s="19">
        <f t="shared" si="6"/>
        <v>4963979.4246376781</v>
      </c>
      <c r="P19" s="19">
        <f t="shared" ref="P19" si="7">+P14+P10</f>
        <v>4758151.5489130402</v>
      </c>
      <c r="Q19" s="16"/>
    </row>
    <row r="20" spans="2:17" x14ac:dyDescent="0.25">
      <c r="B20" s="1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2:17" x14ac:dyDescent="0.25">
      <c r="B21" s="50" t="s">
        <v>53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2:17" x14ac:dyDescent="0.25">
      <c r="B22" s="13" t="s">
        <v>54</v>
      </c>
      <c r="C22" s="33">
        <f>+'2.2 Balansräkning'!L22</f>
        <v>25361</v>
      </c>
      <c r="D22" s="33">
        <f>+'3.1 Antaganden'!C31*-'3.2 Resultaträkning'!D28</f>
        <v>29738.476827582177</v>
      </c>
      <c r="E22" s="33">
        <f>+'3.1 Antaganden'!D31*-'3.2 Resultaträkning'!E28</f>
        <v>30314.193922443097</v>
      </c>
      <c r="F22" s="33">
        <f>+'3.1 Antaganden'!E31*-'3.2 Resultaträkning'!F28</f>
        <v>30909.877617193037</v>
      </c>
      <c r="G22" s="33">
        <f>+'3.1 Antaganden'!F31*-'3.2 Resultaträkning'!G28</f>
        <v>30429.397106964192</v>
      </c>
      <c r="H22" s="33">
        <f>+'3.1 Antaganden'!G31*-'3.2 Resultaträkning'!H28</f>
        <v>31056.969220181953</v>
      </c>
      <c r="I22" s="33">
        <f>+'3.1 Antaganden'!H31*-'3.2 Resultaträkning'!I28</f>
        <v>31707.44048095528</v>
      </c>
      <c r="J22" s="33">
        <f>+'3.1 Antaganden'!I31*-'3.2 Resultaträkning'!J28</f>
        <v>32381.946325809167</v>
      </c>
      <c r="K22" s="33">
        <f>+'3.1 Antaganden'!J31*-'3.2 Resultaträkning'!K28</f>
        <v>33081.690073127975</v>
      </c>
      <c r="L22" s="33">
        <f>+'3.1 Antaganden'!K31*-'3.2 Resultaträkning'!L28</f>
        <v>33824.654166041837</v>
      </c>
      <c r="M22" s="33">
        <f>+'3.1 Antaganden'!L31*-'3.2 Resultaträkning'!M28</f>
        <v>34595.985589273878</v>
      </c>
      <c r="N22" s="33">
        <f>+'3.1 Antaganden'!M31*-'3.2 Resultaträkning'!N28</f>
        <v>35397.130681580049</v>
      </c>
      <c r="O22" s="33">
        <f>+'3.1 Antaganden'!N31*-'3.2 Resultaträkning'!O28</f>
        <v>36229.623436190814</v>
      </c>
      <c r="P22" s="33">
        <f>+'3.1 Antaganden'!O31*-'3.2 Resultaträkning'!P28</f>
        <v>37095.091244471434</v>
      </c>
      <c r="Q22" s="16"/>
    </row>
    <row r="23" spans="2:17" x14ac:dyDescent="0.25">
      <c r="B23" s="10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16"/>
    </row>
    <row r="24" spans="2:17" x14ac:dyDescent="0.25">
      <c r="B24" s="10" t="s">
        <v>55</v>
      </c>
      <c r="C24" s="33">
        <f>+'3.4 Kassaflödesanalys'!C30</f>
        <v>142261</v>
      </c>
      <c r="D24" s="33">
        <f>+'3.4 Kassaflödesanalys'!D30</f>
        <v>59586.945625030217</v>
      </c>
      <c r="E24" s="33">
        <f>+'3.4 Kassaflödesanalys'!E30</f>
        <v>56727.972957682141</v>
      </c>
      <c r="F24" s="33">
        <f>+'3.4 Kassaflödesanalys'!F30</f>
        <v>140337.33279120573</v>
      </c>
      <c r="G24" s="33">
        <f>+'3.4 Kassaflödesanalys'!G30</f>
        <v>106284.64681323146</v>
      </c>
      <c r="H24" s="33">
        <f>+'3.4 Kassaflödesanalys'!H30</f>
        <v>240335.83660101291</v>
      </c>
      <c r="I24" s="33">
        <f>+'3.4 Kassaflödesanalys'!I30</f>
        <v>318921.27621513116</v>
      </c>
      <c r="J24" s="33">
        <f>+'3.4 Kassaflödesanalys'!J30</f>
        <v>349503.36190655106</v>
      </c>
      <c r="K24" s="33">
        <f>+'3.4 Kassaflödesanalys'!K30</f>
        <v>396678.48636473197</v>
      </c>
      <c r="L24" s="33">
        <f>+'3.4 Kassaflödesanalys'!L30</f>
        <v>460171.39211709704</v>
      </c>
      <c r="M24" s="33">
        <f>+'3.4 Kassaflödesanalys'!M30</f>
        <v>487837.35875276668</v>
      </c>
      <c r="N24" s="33">
        <f>+'3.4 Kassaflödesanalys'!N30</f>
        <v>537637.03394285811</v>
      </c>
      <c r="O24" s="33">
        <f>+'3.4 Kassaflödesanalys'!O30</f>
        <v>609137.2069682132</v>
      </c>
      <c r="P24" s="33">
        <f>+'3.4 Kassaflödesanalys'!P30</f>
        <v>810353.07905961352</v>
      </c>
      <c r="Q24" s="16"/>
    </row>
    <row r="25" spans="2:17" x14ac:dyDescent="0.25">
      <c r="B25" s="10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2:17" x14ac:dyDescent="0.25">
      <c r="B26" s="49" t="s">
        <v>56</v>
      </c>
      <c r="C26" s="19">
        <f>+C24+C22</f>
        <v>167622</v>
      </c>
      <c r="D26" s="19">
        <f t="shared" ref="D26:O26" si="8">+D24+D22</f>
        <v>89325.422452612402</v>
      </c>
      <c r="E26" s="19">
        <f t="shared" si="8"/>
        <v>87042.166880125238</v>
      </c>
      <c r="F26" s="19">
        <f t="shared" si="8"/>
        <v>171247.21040839877</v>
      </c>
      <c r="G26" s="19">
        <f t="shared" si="8"/>
        <v>136714.04392019566</v>
      </c>
      <c r="H26" s="19">
        <f t="shared" si="8"/>
        <v>271392.80582119484</v>
      </c>
      <c r="I26" s="19">
        <f t="shared" si="8"/>
        <v>350628.71669608646</v>
      </c>
      <c r="J26" s="19">
        <f t="shared" si="8"/>
        <v>381885.30823236023</v>
      </c>
      <c r="K26" s="19">
        <f t="shared" si="8"/>
        <v>429760.17643785995</v>
      </c>
      <c r="L26" s="19">
        <f t="shared" si="8"/>
        <v>493996.04628313886</v>
      </c>
      <c r="M26" s="19">
        <f t="shared" si="8"/>
        <v>522433.34434204054</v>
      </c>
      <c r="N26" s="19">
        <f t="shared" si="8"/>
        <v>573034.16462443816</v>
      </c>
      <c r="O26" s="19">
        <f t="shared" si="8"/>
        <v>645366.83040440397</v>
      </c>
      <c r="P26" s="19">
        <f t="shared" ref="P26" si="9">+P24+P22</f>
        <v>847448.1703040849</v>
      </c>
      <c r="Q26" s="16"/>
    </row>
    <row r="27" spans="2:17" x14ac:dyDescent="0.25">
      <c r="B27" s="10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2:17" x14ac:dyDescent="0.25">
      <c r="B28" s="49" t="s">
        <v>57</v>
      </c>
      <c r="C28" s="19">
        <f>+C26+C19</f>
        <v>7597220</v>
      </c>
      <c r="D28" s="19">
        <f t="shared" ref="D28:O28" si="10">+D26+D19</f>
        <v>7274999.6133946413</v>
      </c>
      <c r="E28" s="19">
        <f t="shared" si="10"/>
        <v>7049665.5487641823</v>
      </c>
      <c r="F28" s="19">
        <f t="shared" si="10"/>
        <v>6903319.7832344845</v>
      </c>
      <c r="G28" s="19">
        <f t="shared" si="10"/>
        <v>6788244.4743549768</v>
      </c>
      <c r="H28" s="19">
        <f t="shared" si="10"/>
        <v>6700720.3605313385</v>
      </c>
      <c r="I28" s="19">
        <f t="shared" si="10"/>
        <v>6557753.3956815917</v>
      </c>
      <c r="J28" s="19">
        <f t="shared" si="10"/>
        <v>6375004.111493228</v>
      </c>
      <c r="K28" s="19">
        <f t="shared" si="10"/>
        <v>6217051.10397409</v>
      </c>
      <c r="L28" s="19">
        <f t="shared" si="10"/>
        <v>6075459.0980947306</v>
      </c>
      <c r="M28" s="19">
        <f t="shared" si="10"/>
        <v>5898068.5204289947</v>
      </c>
      <c r="N28" s="19">
        <f t="shared" si="10"/>
        <v>5742841.4649867546</v>
      </c>
      <c r="O28" s="19">
        <f t="shared" si="10"/>
        <v>5609346.2550420817</v>
      </c>
      <c r="P28" s="19">
        <f t="shared" ref="P28" si="11">+P26+P19</f>
        <v>5605599.7192171253</v>
      </c>
      <c r="Q28" s="16"/>
    </row>
    <row r="29" spans="2:17" x14ac:dyDescent="0.25">
      <c r="B29" s="1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ht="15.75" x14ac:dyDescent="0.25">
      <c r="B30" s="23" t="s">
        <v>143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x14ac:dyDescent="0.25">
      <c r="B31" s="50" t="s">
        <v>59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x14ac:dyDescent="0.25">
      <c r="B32" s="13" t="s">
        <v>60</v>
      </c>
      <c r="C32" s="33">
        <f>+'2.2 Balansräkning'!C32</f>
        <v>154500</v>
      </c>
      <c r="D32" s="33">
        <f>+C32</f>
        <v>154500</v>
      </c>
      <c r="E32" s="33">
        <f t="shared" ref="E32:P32" si="12">+D32</f>
        <v>154500</v>
      </c>
      <c r="F32" s="33">
        <f t="shared" si="12"/>
        <v>154500</v>
      </c>
      <c r="G32" s="33">
        <f t="shared" si="12"/>
        <v>154500</v>
      </c>
      <c r="H32" s="33">
        <f t="shared" si="12"/>
        <v>154500</v>
      </c>
      <c r="I32" s="33">
        <f t="shared" si="12"/>
        <v>154500</v>
      </c>
      <c r="J32" s="33">
        <f t="shared" si="12"/>
        <v>154500</v>
      </c>
      <c r="K32" s="33">
        <f t="shared" si="12"/>
        <v>154500</v>
      </c>
      <c r="L32" s="33">
        <f t="shared" si="12"/>
        <v>154500</v>
      </c>
      <c r="M32" s="33">
        <f t="shared" si="12"/>
        <v>154500</v>
      </c>
      <c r="N32" s="33">
        <f t="shared" si="12"/>
        <v>154500</v>
      </c>
      <c r="O32" s="33">
        <f t="shared" si="12"/>
        <v>154500</v>
      </c>
      <c r="P32" s="33">
        <f t="shared" si="12"/>
        <v>154500</v>
      </c>
      <c r="Q32" s="16"/>
    </row>
    <row r="33" spans="2:17" x14ac:dyDescent="0.25">
      <c r="B33" s="10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6"/>
    </row>
    <row r="34" spans="2:17" x14ac:dyDescent="0.25">
      <c r="B34" s="13" t="s">
        <v>61</v>
      </c>
      <c r="C34" s="33">
        <f>+C35+C36</f>
        <v>329151</v>
      </c>
      <c r="D34" s="33">
        <f t="shared" ref="D34:O34" si="13">+D35+D36</f>
        <v>270516.0190166072</v>
      </c>
      <c r="E34" s="33">
        <f t="shared" si="13"/>
        <v>247013.50011952402</v>
      </c>
      <c r="F34" s="33">
        <f t="shared" si="13"/>
        <v>230362.61364655686</v>
      </c>
      <c r="G34" s="33">
        <f t="shared" si="13"/>
        <v>242257.72349316464</v>
      </c>
      <c r="H34" s="33">
        <f t="shared" si="13"/>
        <v>279028.83330854581</v>
      </c>
      <c r="I34" s="33">
        <f t="shared" si="13"/>
        <v>320920.29951370304</v>
      </c>
      <c r="J34" s="33">
        <f t="shared" si="13"/>
        <v>377610.29087755509</v>
      </c>
      <c r="K34" s="33">
        <f t="shared" si="13"/>
        <v>449434.48393277946</v>
      </c>
      <c r="L34" s="33">
        <f t="shared" si="13"/>
        <v>528342.09051608271</v>
      </c>
      <c r="M34" s="33">
        <f t="shared" si="13"/>
        <v>615800.16778304987</v>
      </c>
      <c r="N34" s="33">
        <f t="shared" si="13"/>
        <v>712074.29178252316</v>
      </c>
      <c r="O34" s="33">
        <f t="shared" si="13"/>
        <v>817397.67131908587</v>
      </c>
      <c r="P34" s="33">
        <f t="shared" ref="P34" si="14">+P35+P36</f>
        <v>1040418.7109506187</v>
      </c>
      <c r="Q34" s="16"/>
    </row>
    <row r="35" spans="2:17" x14ac:dyDescent="0.25">
      <c r="B35" s="31" t="s">
        <v>48</v>
      </c>
      <c r="C35" s="29">
        <f>+'2.2 Balansräkning'!K34</f>
        <v>387341</v>
      </c>
      <c r="D35" s="29">
        <f>+C34</f>
        <v>329151</v>
      </c>
      <c r="E35" s="29">
        <f t="shared" ref="E35:P35" si="15">+D34</f>
        <v>270516.0190166072</v>
      </c>
      <c r="F35" s="29">
        <f t="shared" si="15"/>
        <v>247013.50011952402</v>
      </c>
      <c r="G35" s="29">
        <f t="shared" si="15"/>
        <v>230362.61364655686</v>
      </c>
      <c r="H35" s="29">
        <f t="shared" si="15"/>
        <v>242257.72349316464</v>
      </c>
      <c r="I35" s="29">
        <f t="shared" si="15"/>
        <v>279028.83330854581</v>
      </c>
      <c r="J35" s="29">
        <f t="shared" si="15"/>
        <v>320920.29951370304</v>
      </c>
      <c r="K35" s="29">
        <f t="shared" si="15"/>
        <v>377610.29087755509</v>
      </c>
      <c r="L35" s="29">
        <f t="shared" si="15"/>
        <v>449434.48393277946</v>
      </c>
      <c r="M35" s="29">
        <f t="shared" si="15"/>
        <v>528342.09051608271</v>
      </c>
      <c r="N35" s="29">
        <f t="shared" si="15"/>
        <v>615800.16778304987</v>
      </c>
      <c r="O35" s="29">
        <f t="shared" si="15"/>
        <v>712074.29178252316</v>
      </c>
      <c r="P35" s="29">
        <f t="shared" si="15"/>
        <v>817397.67131908587</v>
      </c>
      <c r="Q35" s="16"/>
    </row>
    <row r="36" spans="2:17" x14ac:dyDescent="0.25">
      <c r="B36" s="31" t="s">
        <v>62</v>
      </c>
      <c r="C36" s="29">
        <f>+'3.2 Resultaträkning'!C43</f>
        <v>-58190</v>
      </c>
      <c r="D36" s="29">
        <f>+'3.2 Resultaträkning'!D43</f>
        <v>-58634.980983392801</v>
      </c>
      <c r="E36" s="29">
        <f>+'3.2 Resultaträkning'!E43</f>
        <v>-23502.518897083195</v>
      </c>
      <c r="F36" s="29">
        <f>+'3.2 Resultaträkning'!F43</f>
        <v>-16650.886472967162</v>
      </c>
      <c r="G36" s="29">
        <f>+'3.2 Resultaträkning'!G43</f>
        <v>11895.109846607767</v>
      </c>
      <c r="H36" s="29">
        <f>+'3.2 Resultaträkning'!H43</f>
        <v>36771.109815381162</v>
      </c>
      <c r="I36" s="29">
        <f>+'3.2 Resultaträkning'!I43</f>
        <v>41891.466205157223</v>
      </c>
      <c r="J36" s="29">
        <f>+'3.2 Resultaträkning'!J43</f>
        <v>56689.991363852037</v>
      </c>
      <c r="K36" s="29">
        <f>+'3.2 Resultaträkning'!K43</f>
        <v>71824.193055224358</v>
      </c>
      <c r="L36" s="29">
        <f>+'3.2 Resultaträkning'!L43</f>
        <v>78907.606583303292</v>
      </c>
      <c r="M36" s="29">
        <f>+'3.2 Resultaträkning'!M43</f>
        <v>87458.077266967215</v>
      </c>
      <c r="N36" s="29">
        <f>+'3.2 Resultaträkning'!N43</f>
        <v>96274.12399947326</v>
      </c>
      <c r="O36" s="29">
        <f>+'3.2 Resultaträkning'!O43</f>
        <v>105323.37953656267</v>
      </c>
      <c r="P36" s="29">
        <f>+'3.2 Resultaträkning'!P43</f>
        <v>223021.03963153285</v>
      </c>
      <c r="Q36" s="16"/>
    </row>
    <row r="37" spans="2:17" x14ac:dyDescent="0.25">
      <c r="B37" s="1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  <row r="38" spans="2:17" x14ac:dyDescent="0.25">
      <c r="B38" s="49" t="s">
        <v>63</v>
      </c>
      <c r="C38" s="19">
        <f>+C34+C32</f>
        <v>483651</v>
      </c>
      <c r="D38" s="19">
        <f t="shared" ref="D38:O38" si="16">+D34+D32</f>
        <v>425016.0190166072</v>
      </c>
      <c r="E38" s="19">
        <f t="shared" si="16"/>
        <v>401513.50011952402</v>
      </c>
      <c r="F38" s="19">
        <f t="shared" si="16"/>
        <v>384862.61364655686</v>
      </c>
      <c r="G38" s="19">
        <f t="shared" si="16"/>
        <v>396757.72349316464</v>
      </c>
      <c r="H38" s="19">
        <f t="shared" si="16"/>
        <v>433528.83330854581</v>
      </c>
      <c r="I38" s="19">
        <f t="shared" si="16"/>
        <v>475420.29951370304</v>
      </c>
      <c r="J38" s="19">
        <f t="shared" si="16"/>
        <v>532110.29087755503</v>
      </c>
      <c r="K38" s="19">
        <f t="shared" si="16"/>
        <v>603934.4839327794</v>
      </c>
      <c r="L38" s="19">
        <f t="shared" si="16"/>
        <v>682842.09051608271</v>
      </c>
      <c r="M38" s="19">
        <f t="shared" si="16"/>
        <v>770300.16778304987</v>
      </c>
      <c r="N38" s="19">
        <f t="shared" si="16"/>
        <v>866574.29178252316</v>
      </c>
      <c r="O38" s="19">
        <f t="shared" si="16"/>
        <v>971897.67131908587</v>
      </c>
      <c r="P38" s="19">
        <f t="shared" ref="P38" si="17">+P34+P32</f>
        <v>1194918.7109506186</v>
      </c>
      <c r="Q38" s="16"/>
    </row>
    <row r="39" spans="2:17" x14ac:dyDescent="0.25">
      <c r="B39" s="10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</row>
    <row r="40" spans="2:17" x14ac:dyDescent="0.25">
      <c r="B40" s="50" t="s">
        <v>64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</row>
    <row r="41" spans="2:17" x14ac:dyDescent="0.25">
      <c r="B41" s="13" t="s">
        <v>65</v>
      </c>
      <c r="C41" s="33">
        <f>+'2.2 Balansräkning'!L41</f>
        <v>7007680</v>
      </c>
      <c r="D41" s="33">
        <f>+C41*(1-'3.1 Antaganden'!C36)</f>
        <v>6797449.5999999996</v>
      </c>
      <c r="E41" s="33">
        <f>+D41*(1-'3.1 Antaganden'!D36)</f>
        <v>6593526.1119999997</v>
      </c>
      <c r="F41" s="33">
        <f>+E41*(1-'3.1 Antaganden'!E36)</f>
        <v>6461655.5897599999</v>
      </c>
      <c r="G41" s="33">
        <f>+F41*(1-'3.1 Antaganden'!F36)</f>
        <v>6332422.4779647999</v>
      </c>
      <c r="H41" s="33">
        <f>+G41*(1-'3.1 Antaganden'!G36)</f>
        <v>6205774.0284055034</v>
      </c>
      <c r="I41" s="33">
        <f>+H41*(1-'3.1 Antaganden'!H36)</f>
        <v>6019600.8075533379</v>
      </c>
      <c r="J41" s="33">
        <f>+I41*(1-'3.1 Antaganden'!I36)</f>
        <v>5778816.7752512041</v>
      </c>
      <c r="K41" s="33">
        <f>+J41*(1-'3.1 Antaganden'!J36)</f>
        <v>5547664.104241156</v>
      </c>
      <c r="L41" s="33">
        <f>+K41*(1-'3.1 Antaganden'!K36)</f>
        <v>5325757.5400715098</v>
      </c>
      <c r="M41" s="33">
        <f>+L41*(1-'3.1 Antaganden'!L36)</f>
        <v>5059469.6630679341</v>
      </c>
      <c r="N41" s="33">
        <f>+M41*(1-'3.1 Antaganden'!M36)</f>
        <v>4806496.1799145369</v>
      </c>
      <c r="O41" s="33">
        <f>+N41*(1-'3.1 Antaganden'!N36)</f>
        <v>4566171.3709188094</v>
      </c>
      <c r="P41" s="33">
        <f>+O41*(1-'3.1 Antaganden'!O36)</f>
        <v>4337862.8023728691</v>
      </c>
      <c r="Q41" s="16"/>
    </row>
    <row r="42" spans="2:17" x14ac:dyDescent="0.25">
      <c r="B42" s="10"/>
      <c r="C42" s="60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6"/>
    </row>
    <row r="43" spans="2:17" x14ac:dyDescent="0.25">
      <c r="B43" s="13" t="s">
        <v>66</v>
      </c>
      <c r="C43" s="33">
        <f>+'2.2 Balansräkning'!L43</f>
        <v>105889</v>
      </c>
      <c r="D43" s="33">
        <f>+'3.2 Resultaträkning'!D14*'3.1 Antaganden'!C33</f>
        <v>52533.994378034542</v>
      </c>
      <c r="E43" s="33">
        <f>+'3.2 Resultaträkning'!E14*'3.1 Antaganden'!D33</f>
        <v>54625.936644659458</v>
      </c>
      <c r="F43" s="33">
        <f>+'3.2 Resultaträkning'!F14*'3.1 Antaganden'!E33</f>
        <v>56801.579827928981</v>
      </c>
      <c r="G43" s="33">
        <f>+'3.2 Resultaträkning'!G14*'3.1 Antaganden'!F33</f>
        <v>59064.272897013754</v>
      </c>
      <c r="H43" s="33">
        <f>+'3.2 Resultaträkning'!H14*'3.1 Antaganden'!G33</f>
        <v>61417.498817290558</v>
      </c>
      <c r="I43" s="33">
        <f>+'3.2 Resultaträkning'!I14*'3.1 Antaganden'!H33</f>
        <v>62732.288614552672</v>
      </c>
      <c r="J43" s="33">
        <f>+'3.2 Resultaträkning'!J14*'3.1 Antaganden'!I33</f>
        <v>64077.045364470447</v>
      </c>
      <c r="K43" s="33">
        <f>+'3.2 Resultaträkning'!K14*'3.1 Antaganden'!J33</f>
        <v>65452.515800156245</v>
      </c>
      <c r="L43" s="33">
        <f>+'3.2 Resultaträkning'!L14*'3.1 Antaganden'!K33</f>
        <v>66859.46750714042</v>
      </c>
      <c r="M43" s="33">
        <f>+'3.2 Resultaträkning'!M14*'3.1 Antaganden'!L33</f>
        <v>68298.689578012869</v>
      </c>
      <c r="N43" s="33">
        <f>+'3.2 Resultaträkning'!N14*'3.1 Antaganden'!M33</f>
        <v>69770.993289696751</v>
      </c>
      <c r="O43" s="33">
        <f>+'3.2 Resultaträkning'!O14*'3.1 Antaganden'!N33</f>
        <v>71277.212804189694</v>
      </c>
      <c r="P43" s="33">
        <f>+'3.2 Resultaträkning'!P14*'3.1 Antaganden'!O33</f>
        <v>72818.205893640436</v>
      </c>
      <c r="Q43" s="16"/>
    </row>
    <row r="44" spans="2:17" x14ac:dyDescent="0.25">
      <c r="B44" s="10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</row>
    <row r="45" spans="2:17" x14ac:dyDescent="0.25">
      <c r="B45" s="49" t="s">
        <v>67</v>
      </c>
      <c r="C45" s="19">
        <f>+C43+C41</f>
        <v>7113569</v>
      </c>
      <c r="D45" s="19">
        <f t="shared" ref="D45:O45" si="18">+D43+D41</f>
        <v>6849983.5943780346</v>
      </c>
      <c r="E45" s="19">
        <f t="shared" si="18"/>
        <v>6648152.0486446591</v>
      </c>
      <c r="F45" s="19">
        <f t="shared" si="18"/>
        <v>6518457.1695879288</v>
      </c>
      <c r="G45" s="19">
        <f t="shared" si="18"/>
        <v>6391486.7508618133</v>
      </c>
      <c r="H45" s="19">
        <f t="shared" si="18"/>
        <v>6267191.5272227935</v>
      </c>
      <c r="I45" s="19">
        <f t="shared" si="18"/>
        <v>6082333.0961678904</v>
      </c>
      <c r="J45" s="19">
        <f t="shared" si="18"/>
        <v>5842893.8206156744</v>
      </c>
      <c r="K45" s="19">
        <f t="shared" si="18"/>
        <v>5613116.6200413126</v>
      </c>
      <c r="L45" s="19">
        <f t="shared" si="18"/>
        <v>5392617.0075786505</v>
      </c>
      <c r="M45" s="19">
        <f t="shared" si="18"/>
        <v>5127768.3526459467</v>
      </c>
      <c r="N45" s="19">
        <f t="shared" si="18"/>
        <v>4876267.1732042339</v>
      </c>
      <c r="O45" s="19">
        <f t="shared" si="18"/>
        <v>4637448.5837229993</v>
      </c>
      <c r="P45" s="19">
        <f t="shared" ref="P45" si="19">+P43+P41</f>
        <v>4410681.0082665095</v>
      </c>
      <c r="Q45" s="16"/>
    </row>
    <row r="46" spans="2:17" x14ac:dyDescent="0.25">
      <c r="B46" s="10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</row>
    <row r="47" spans="2:17" x14ac:dyDescent="0.25">
      <c r="B47" s="49" t="s">
        <v>68</v>
      </c>
      <c r="C47" s="19">
        <f>+C45+C38</f>
        <v>7597220</v>
      </c>
      <c r="D47" s="19">
        <f t="shared" ref="D47:O47" si="20">+D45+D38</f>
        <v>7274999.6133946422</v>
      </c>
      <c r="E47" s="19">
        <f t="shared" si="20"/>
        <v>7049665.5487641832</v>
      </c>
      <c r="F47" s="19">
        <f t="shared" si="20"/>
        <v>6903319.7832344854</v>
      </c>
      <c r="G47" s="19">
        <f t="shared" si="20"/>
        <v>6788244.4743549777</v>
      </c>
      <c r="H47" s="19">
        <f t="shared" si="20"/>
        <v>6700720.3605313394</v>
      </c>
      <c r="I47" s="19">
        <f t="shared" si="20"/>
        <v>6557753.3956815936</v>
      </c>
      <c r="J47" s="19">
        <f t="shared" si="20"/>
        <v>6375004.1114932299</v>
      </c>
      <c r="K47" s="19">
        <f t="shared" si="20"/>
        <v>6217051.1039740918</v>
      </c>
      <c r="L47" s="19">
        <f t="shared" si="20"/>
        <v>6075459.0980947334</v>
      </c>
      <c r="M47" s="19">
        <f t="shared" si="20"/>
        <v>5898068.5204289965</v>
      </c>
      <c r="N47" s="19">
        <f t="shared" si="20"/>
        <v>5742841.4649867574</v>
      </c>
      <c r="O47" s="19">
        <f t="shared" si="20"/>
        <v>5609346.2550420854</v>
      </c>
      <c r="P47" s="19">
        <f t="shared" ref="P47" si="21">+P45+P38</f>
        <v>5605599.7192171281</v>
      </c>
      <c r="Q47" s="16"/>
    </row>
    <row r="48" spans="2:17" x14ac:dyDescent="0.25">
      <c r="B48" s="36" t="s">
        <v>69</v>
      </c>
      <c r="C48" s="48">
        <f>+C47-C28</f>
        <v>0</v>
      </c>
      <c r="D48" s="48">
        <f t="shared" ref="D48:P48" si="22">+D47-D28</f>
        <v>0</v>
      </c>
      <c r="E48" s="48">
        <f t="shared" si="22"/>
        <v>0</v>
      </c>
      <c r="F48" s="48">
        <f t="shared" si="22"/>
        <v>0</v>
      </c>
      <c r="G48" s="48">
        <f t="shared" si="22"/>
        <v>0</v>
      </c>
      <c r="H48" s="48">
        <f t="shared" si="22"/>
        <v>0</v>
      </c>
      <c r="I48" s="48">
        <f t="shared" si="22"/>
        <v>0</v>
      </c>
      <c r="J48" s="48">
        <f t="shared" si="22"/>
        <v>0</v>
      </c>
      <c r="K48" s="48">
        <f t="shared" si="22"/>
        <v>0</v>
      </c>
      <c r="L48" s="48">
        <f t="shared" si="22"/>
        <v>0</v>
      </c>
      <c r="M48" s="48">
        <f t="shared" si="22"/>
        <v>0</v>
      </c>
      <c r="N48" s="48">
        <f t="shared" si="22"/>
        <v>0</v>
      </c>
      <c r="O48" s="48">
        <f t="shared" si="22"/>
        <v>0</v>
      </c>
      <c r="P48" s="48">
        <f t="shared" si="22"/>
        <v>0</v>
      </c>
      <c r="Q48" s="16"/>
    </row>
    <row r="49" spans="3:17" x14ac:dyDescent="0.25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  <row r="50" spans="3:17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7" x14ac:dyDescent="0.25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7" hidden="1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FD37"/>
  <sheetViews>
    <sheetView zoomScale="80" zoomScaleNormal="80" workbookViewId="0">
      <pane xSplit="2" ySplit="6" topLeftCell="F7" activePane="bottomRight" state="frozen"/>
      <selection pane="topRight" activeCell="C1" sqref="C1"/>
      <selection pane="bottomLeft" activeCell="A7" sqref="A7"/>
      <selection pane="bottomRight" activeCell="P25" sqref="P25"/>
    </sheetView>
  </sheetViews>
  <sheetFormatPr defaultColWidth="0" defaultRowHeight="15" zeroHeight="1" x14ac:dyDescent="0.25"/>
  <cols>
    <col min="1" max="1" width="9.140625" style="1" customWidth="1"/>
    <col min="2" max="2" width="46.5703125" style="1" customWidth="1"/>
    <col min="3" max="17" width="14.7109375" style="1" customWidth="1"/>
    <col min="18" max="16384" width="9.140625" style="1" hidden="1"/>
  </cols>
  <sheetData>
    <row r="1" spans="2:16384" ht="18" x14ac:dyDescent="0.25">
      <c r="B1" s="8" t="s">
        <v>142</v>
      </c>
    </row>
    <row r="2" spans="2:16384" x14ac:dyDescent="0.25">
      <c r="B2" s="9"/>
    </row>
    <row r="3" spans="2:16384" x14ac:dyDescent="0.25">
      <c r="B3" s="9"/>
    </row>
    <row r="4" spans="2:16384" x14ac:dyDescent="0.25">
      <c r="B4" s="9"/>
    </row>
    <row r="5" spans="2:16384" x14ac:dyDescent="0.25">
      <c r="B5" s="10"/>
    </row>
    <row r="6" spans="2:16384" ht="30.75" thickBot="1" x14ac:dyDescent="0.3">
      <c r="B6" s="11"/>
      <c r="C6" s="17" t="s">
        <v>120</v>
      </c>
      <c r="D6" s="17" t="s">
        <v>121</v>
      </c>
      <c r="E6" s="17" t="s">
        <v>122</v>
      </c>
      <c r="F6" s="17" t="s">
        <v>123</v>
      </c>
      <c r="G6" s="17" t="s">
        <v>124</v>
      </c>
      <c r="H6" s="17" t="s">
        <v>125</v>
      </c>
      <c r="I6" s="17" t="s">
        <v>126</v>
      </c>
      <c r="J6" s="17" t="s">
        <v>127</v>
      </c>
      <c r="K6" s="17" t="s">
        <v>128</v>
      </c>
      <c r="L6" s="17" t="s">
        <v>129</v>
      </c>
      <c r="M6" s="17" t="s">
        <v>130</v>
      </c>
      <c r="N6" s="17" t="s">
        <v>131</v>
      </c>
      <c r="O6" s="17" t="s">
        <v>132</v>
      </c>
      <c r="P6" s="17" t="s">
        <v>148</v>
      </c>
    </row>
    <row r="7" spans="2:16384" x14ac:dyDescent="0.25">
      <c r="B7" s="50" t="s">
        <v>71</v>
      </c>
    </row>
    <row r="8" spans="2:16384" x14ac:dyDescent="0.25">
      <c r="B8" s="10" t="s">
        <v>29</v>
      </c>
      <c r="C8" s="33">
        <f>+'3.2 Resultaträkning'!C34</f>
        <v>33802</v>
      </c>
      <c r="D8" s="33">
        <f>+'3.2 Resultaträkning'!D34</f>
        <v>29731.863816607191</v>
      </c>
      <c r="E8" s="33">
        <f>+'3.2 Resultaträkning'!E34</f>
        <v>68806.846670916799</v>
      </c>
      <c r="F8" s="33">
        <f>+'3.2 Resultaträkning'!F34</f>
        <v>80273.947373432835</v>
      </c>
      <c r="G8" s="33">
        <f>+'3.2 Resultaträkning'!G34</f>
        <v>113213.86949404457</v>
      </c>
      <c r="H8" s="33">
        <f>+'3.2 Resultaträkning'!H34</f>
        <v>142269.26829827472</v>
      </c>
      <c r="I8" s="33">
        <f>+'3.2 Resultaträkning'!I34</f>
        <v>150244.28074111731</v>
      </c>
      <c r="J8" s="33">
        <f>+'3.2 Resultaträkning'!J34</f>
        <v>166487.51009362494</v>
      </c>
      <c r="K8" s="33">
        <f>+'3.2 Resultaträkning'!K34</f>
        <v>182777.47514004749</v>
      </c>
      <c r="L8" s="33">
        <f>+'3.2 Resultaträkning'!L34</f>
        <v>190748.51492480503</v>
      </c>
      <c r="M8" s="33">
        <f>+'3.2 Resultaträkning'!M34</f>
        <v>198766.40985446179</v>
      </c>
      <c r="N8" s="33">
        <f>+'3.2 Resultaträkning'!N34</f>
        <v>206823.53613750765</v>
      </c>
      <c r="O8" s="33">
        <f>+'3.2 Resultaträkning'!O34</f>
        <v>214911.49243861414</v>
      </c>
      <c r="P8" s="33">
        <f>+'3.2 Resultaträkning'!P34</f>
        <v>223021.03963153285</v>
      </c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pans="2:16384" x14ac:dyDescent="0.25">
      <c r="B9" s="10" t="s">
        <v>72</v>
      </c>
      <c r="C9" s="33">
        <f>+'3.2 Resultaträkning'!C37</f>
        <v>0</v>
      </c>
      <c r="D9" s="33">
        <f>+'3.2 Resultaträkning'!D37</f>
        <v>0</v>
      </c>
      <c r="E9" s="33">
        <f>+'3.2 Resultaträkning'!E37</f>
        <v>0</v>
      </c>
      <c r="F9" s="33">
        <f>+'3.2 Resultaträkning'!F37</f>
        <v>0</v>
      </c>
      <c r="G9" s="33">
        <f>+'3.2 Resultaträkning'!G37</f>
        <v>0</v>
      </c>
      <c r="H9" s="33">
        <f>+'3.2 Resultaträkning'!H37</f>
        <v>0</v>
      </c>
      <c r="I9" s="33">
        <f>+'3.2 Resultaträkning'!I37</f>
        <v>0</v>
      </c>
      <c r="J9" s="33">
        <f>+'3.2 Resultaträkning'!J37</f>
        <v>0</v>
      </c>
      <c r="K9" s="33">
        <f>+'3.2 Resultaträkning'!K37</f>
        <v>0</v>
      </c>
      <c r="L9" s="33">
        <f>+'3.2 Resultaträkning'!L37</f>
        <v>0</v>
      </c>
      <c r="M9" s="33">
        <f>+'3.2 Resultaträkning'!M37</f>
        <v>0</v>
      </c>
      <c r="N9" s="33">
        <f>+'3.2 Resultaträkning'!N37</f>
        <v>0</v>
      </c>
      <c r="O9" s="33">
        <f>+'3.2 Resultaträkning'!O37</f>
        <v>0</v>
      </c>
      <c r="P9" s="33">
        <f>+'3.2 Resultaträkning'!P37</f>
        <v>0</v>
      </c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pans="2:16384" x14ac:dyDescent="0.25">
      <c r="B10" s="10" t="s">
        <v>73</v>
      </c>
      <c r="C10" s="33">
        <f>+'3.2 Resultaträkning'!C39</f>
        <v>-91992</v>
      </c>
      <c r="D10" s="33">
        <f>+'3.2 Resultaträkning'!D39</f>
        <v>-88366.844799999992</v>
      </c>
      <c r="E10" s="33">
        <f>+'3.2 Resultaträkning'!E39</f>
        <v>-92309.365567999994</v>
      </c>
      <c r="F10" s="33">
        <f>+'3.2 Resultaträkning'!F39</f>
        <v>-96924.833846399997</v>
      </c>
      <c r="G10" s="33">
        <f>+'3.2 Resultaträkning'!G39</f>
        <v>-101318.7596474368</v>
      </c>
      <c r="H10" s="33">
        <f>+'3.2 Resultaträkning'!H39</f>
        <v>-105498.15848289356</v>
      </c>
      <c r="I10" s="33">
        <f>+'3.2 Resultaträkning'!I39</f>
        <v>-108352.81453596009</v>
      </c>
      <c r="J10" s="33">
        <f>+'3.2 Resultaträkning'!J39</f>
        <v>-109797.5187297729</v>
      </c>
      <c r="K10" s="33">
        <f>+'3.2 Resultaträkning'!K39</f>
        <v>-110953.28208482313</v>
      </c>
      <c r="L10" s="33">
        <f>+'3.2 Resultaträkning'!L39</f>
        <v>-111840.90834150174</v>
      </c>
      <c r="M10" s="33">
        <f>+'3.2 Resultaträkning'!M39</f>
        <v>-111308.33258749457</v>
      </c>
      <c r="N10" s="33">
        <f>+'3.2 Resultaträkning'!N39</f>
        <v>-110549.41213803439</v>
      </c>
      <c r="O10" s="33">
        <f>+'3.2 Resultaträkning'!O39</f>
        <v>-109588.11290205146</v>
      </c>
      <c r="P10" s="33">
        <f>+'3.2 Resultaträkning'!P39</f>
        <v>0</v>
      </c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pans="2:16384" x14ac:dyDescent="0.25">
      <c r="B11" s="10" t="s">
        <v>74</v>
      </c>
      <c r="C11" s="33">
        <f>-'3.2 Resultaträkning'!C32</f>
        <v>221612</v>
      </c>
      <c r="D11" s="33">
        <f>-'3.2 Resultaträkning'!D32</f>
        <v>243923.80905797103</v>
      </c>
      <c r="E11" s="33">
        <f>-'3.2 Resultaträkning'!E32</f>
        <v>223050.80905797103</v>
      </c>
      <c r="F11" s="33">
        <f>-'3.2 Resultaträkning'!F32</f>
        <v>230550.80905797103</v>
      </c>
      <c r="G11" s="33">
        <f>-'3.2 Resultaträkning'!G32</f>
        <v>230542.14239130437</v>
      </c>
      <c r="H11" s="33">
        <f>-'3.2 Resultaträkning'!H32</f>
        <v>222202.87572463771</v>
      </c>
      <c r="I11" s="33">
        <f>-'3.2 Resultaträkning'!I32</f>
        <v>222202.87572463771</v>
      </c>
      <c r="J11" s="33">
        <f>-'3.2 Resultaträkning'!J32</f>
        <v>214005.87572463771</v>
      </c>
      <c r="K11" s="33">
        <f>-'3.2 Resultaträkning'!K32</f>
        <v>205827.87572463771</v>
      </c>
      <c r="L11" s="33">
        <f>-'3.2 Resultaträkning'!L32</f>
        <v>205827.87572463771</v>
      </c>
      <c r="M11" s="33">
        <f>-'3.2 Resultaträkning'!M32</f>
        <v>205827.87572463771</v>
      </c>
      <c r="N11" s="33">
        <f>-'3.2 Resultaträkning'!N32</f>
        <v>205827.87572463771</v>
      </c>
      <c r="O11" s="33">
        <f>-'3.2 Resultaträkning'!O32</f>
        <v>205827.87572463771</v>
      </c>
      <c r="P11" s="33">
        <f>-'3.2 Resultaträkning'!P32</f>
        <v>205827.87572463771</v>
      </c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pans="2:16384" x14ac:dyDescent="0.25">
      <c r="B12" s="49" t="s">
        <v>75</v>
      </c>
      <c r="C12" s="19">
        <f>+SUM(C8:C11)</f>
        <v>163422</v>
      </c>
      <c r="D12" s="19">
        <f t="shared" ref="D12:O12" si="0">+SUM(D8:D11)</f>
        <v>185288.82807457822</v>
      </c>
      <c r="E12" s="19">
        <f t="shared" si="0"/>
        <v>199548.29016088782</v>
      </c>
      <c r="F12" s="19">
        <f t="shared" si="0"/>
        <v>213899.92258500386</v>
      </c>
      <c r="G12" s="19">
        <f t="shared" si="0"/>
        <v>242437.25223791215</v>
      </c>
      <c r="H12" s="19">
        <f t="shared" si="0"/>
        <v>258973.98554001888</v>
      </c>
      <c r="I12" s="19">
        <f t="shared" si="0"/>
        <v>264094.34192979493</v>
      </c>
      <c r="J12" s="19">
        <f t="shared" si="0"/>
        <v>270695.86708848976</v>
      </c>
      <c r="K12" s="19">
        <f t="shared" si="0"/>
        <v>277652.06877986208</v>
      </c>
      <c r="L12" s="19">
        <f t="shared" si="0"/>
        <v>284735.48230794101</v>
      </c>
      <c r="M12" s="19">
        <f t="shared" si="0"/>
        <v>293285.95299160492</v>
      </c>
      <c r="N12" s="19">
        <f t="shared" si="0"/>
        <v>302101.99972411094</v>
      </c>
      <c r="O12" s="19">
        <f t="shared" si="0"/>
        <v>311151.25526120036</v>
      </c>
      <c r="P12" s="19">
        <f t="shared" ref="P12" si="1">+SUM(P8:P11)</f>
        <v>428848.91535617056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2:16384" x14ac:dyDescent="0.25">
      <c r="B13" s="55" t="s">
        <v>76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pans="2:16384" x14ac:dyDescent="0.25">
      <c r="B14" s="10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pans="2:16384" x14ac:dyDescent="0.25">
      <c r="B15" s="24" t="s">
        <v>77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spans="2:16384" x14ac:dyDescent="0.25">
      <c r="B16" s="10" t="s">
        <v>78</v>
      </c>
      <c r="C16" s="33">
        <f>-'3.3 Balansräkning'!C22+'2.2 Balansräkning'!K22</f>
        <v>-2118</v>
      </c>
      <c r="D16" s="33">
        <f>-'3.3 Balansräkning'!D22+'3.3 Balansräkning'!C22</f>
        <v>-4377.4768275821771</v>
      </c>
      <c r="E16" s="33">
        <f>-'3.3 Balansräkning'!E22+'3.3 Balansräkning'!D22</f>
        <v>-575.71709486092004</v>
      </c>
      <c r="F16" s="33">
        <f>-'3.3 Balansräkning'!F22+'3.3 Balansräkning'!E22</f>
        <v>-595.6836947499396</v>
      </c>
      <c r="G16" s="33">
        <f>-'3.3 Balansräkning'!G22+'3.3 Balansräkning'!F22</f>
        <v>480.48051022884465</v>
      </c>
      <c r="H16" s="33">
        <f>-'3.3 Balansräkning'!H22+'3.3 Balansräkning'!G22</f>
        <v>-627.57211321776049</v>
      </c>
      <c r="I16" s="33">
        <f>-'3.3 Balansräkning'!I22+'3.3 Balansräkning'!H22</f>
        <v>-650.47126077332723</v>
      </c>
      <c r="J16" s="33">
        <f>-'3.3 Balansräkning'!J22+'3.3 Balansräkning'!I22</f>
        <v>-674.50584485388754</v>
      </c>
      <c r="K16" s="33">
        <f>-'3.3 Balansräkning'!K22+'3.3 Balansräkning'!J22</f>
        <v>-699.74374731880744</v>
      </c>
      <c r="L16" s="33">
        <f>-'3.3 Balansräkning'!L22+'3.3 Balansräkning'!K22</f>
        <v>-742.96409291386226</v>
      </c>
      <c r="M16" s="33">
        <f>-'3.3 Balansräkning'!M22+'3.3 Balansräkning'!L22</f>
        <v>-771.33142323204083</v>
      </c>
      <c r="N16" s="33">
        <f>-'3.3 Balansräkning'!N22+'3.3 Balansräkning'!M22</f>
        <v>-801.14509230617114</v>
      </c>
      <c r="O16" s="33">
        <f>-'3.3 Balansräkning'!O22+'3.3 Balansräkning'!N22</f>
        <v>-832.49275461076468</v>
      </c>
      <c r="P16" s="33">
        <f>-'3.3 Balansräkning'!P22+'3.3 Balansräkning'!O22</f>
        <v>-865.46780828062037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spans="2:16384" x14ac:dyDescent="0.25">
      <c r="B17" s="10" t="s">
        <v>79</v>
      </c>
      <c r="C17" s="33">
        <f>+'3.3 Balansräkning'!C43-'2.2 Balansräkning'!K43</f>
        <v>-7477</v>
      </c>
      <c r="D17" s="33">
        <f>+'3.3 Balansräkning'!D43-'3.3 Balansräkning'!C43</f>
        <v>-53355.005621965458</v>
      </c>
      <c r="E17" s="33">
        <f>+'3.3 Balansräkning'!E43-'3.3 Balansräkning'!D43</f>
        <v>2091.9422666249156</v>
      </c>
      <c r="F17" s="33">
        <f>+'3.3 Balansräkning'!F43-'3.3 Balansräkning'!E43</f>
        <v>2175.6431832695234</v>
      </c>
      <c r="G17" s="33">
        <f>+'3.3 Balansräkning'!G43-'3.3 Balansräkning'!F43</f>
        <v>2262.693069084773</v>
      </c>
      <c r="H17" s="33">
        <f>+'3.3 Balansräkning'!H43-'3.3 Balansräkning'!G43</f>
        <v>2353.2259202768037</v>
      </c>
      <c r="I17" s="33">
        <f>+'3.3 Balansräkning'!I43-'3.3 Balansräkning'!H43</f>
        <v>1314.789797262114</v>
      </c>
      <c r="J17" s="33">
        <f>+'3.3 Balansräkning'!J43-'3.3 Balansräkning'!I43</f>
        <v>1344.7567499177749</v>
      </c>
      <c r="K17" s="33">
        <f>+'3.3 Balansräkning'!K43-'3.3 Balansräkning'!J43</f>
        <v>1375.4704356857983</v>
      </c>
      <c r="L17" s="33">
        <f>+'3.3 Balansräkning'!L43-'3.3 Balansräkning'!K43</f>
        <v>1406.951706984175</v>
      </c>
      <c r="M17" s="33">
        <f>+'3.3 Balansräkning'!M43-'3.3 Balansräkning'!L43</f>
        <v>1439.222070872449</v>
      </c>
      <c r="N17" s="33">
        <f>+'3.3 Balansräkning'!N43-'3.3 Balansräkning'!M43</f>
        <v>1472.3037116838823</v>
      </c>
      <c r="O17" s="33">
        <f>+'3.3 Balansräkning'!O43-'3.3 Balansräkning'!N43</f>
        <v>1506.2195144929428</v>
      </c>
      <c r="P17" s="33">
        <f>+'3.3 Balansräkning'!P43-'3.3 Balansräkning'!O43</f>
        <v>1540.9930894507415</v>
      </c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spans="2:16384" x14ac:dyDescent="0.25">
      <c r="B18" s="49" t="s">
        <v>75</v>
      </c>
      <c r="C18" s="19">
        <f>+C17+C16+C12</f>
        <v>153827</v>
      </c>
      <c r="D18" s="19">
        <f t="shared" ref="D18:O18" si="2">+D17+D16+D12</f>
        <v>127556.34562503059</v>
      </c>
      <c r="E18" s="19">
        <f t="shared" si="2"/>
        <v>201064.51533265182</v>
      </c>
      <c r="F18" s="19">
        <f t="shared" si="2"/>
        <v>215479.88207352345</v>
      </c>
      <c r="G18" s="19">
        <f t="shared" si="2"/>
        <v>245180.42581722577</v>
      </c>
      <c r="H18" s="19">
        <f t="shared" si="2"/>
        <v>260699.63934707793</v>
      </c>
      <c r="I18" s="19">
        <f t="shared" si="2"/>
        <v>264758.66046628373</v>
      </c>
      <c r="J18" s="19">
        <f t="shared" si="2"/>
        <v>271366.11799355363</v>
      </c>
      <c r="K18" s="19">
        <f t="shared" si="2"/>
        <v>278327.79546822904</v>
      </c>
      <c r="L18" s="19">
        <f t="shared" si="2"/>
        <v>285399.46992201131</v>
      </c>
      <c r="M18" s="19">
        <f t="shared" si="2"/>
        <v>293953.84363924531</v>
      </c>
      <c r="N18" s="19">
        <f t="shared" si="2"/>
        <v>302773.15834348864</v>
      </c>
      <c r="O18" s="19">
        <f t="shared" si="2"/>
        <v>311824.98202108254</v>
      </c>
      <c r="P18" s="19">
        <f t="shared" ref="P18" si="3">+P17+P16+P12</f>
        <v>429524.44063734065</v>
      </c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spans="2:16384" x14ac:dyDescent="0.25">
      <c r="B19" s="10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pans="2:16384" x14ac:dyDescent="0.25">
      <c r="B20" s="50" t="s">
        <v>80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pans="2:16384" x14ac:dyDescent="0.25">
      <c r="B21" s="10" t="s">
        <v>81</v>
      </c>
      <c r="C21" s="33">
        <f>-'3.3 Balansräkning'!C16</f>
        <v>-1817220</v>
      </c>
      <c r="D21" s="33">
        <f>-'3.3 Balansräkning'!D16</f>
        <v>0</v>
      </c>
      <c r="E21" s="33">
        <f>-'3.3 Balansräkning'!E16</f>
        <v>0</v>
      </c>
      <c r="F21" s="33">
        <f>-'3.3 Balansräkning'!F16</f>
        <v>0</v>
      </c>
      <c r="G21" s="33">
        <f>-'3.3 Balansräkning'!G16</f>
        <v>-150000</v>
      </c>
      <c r="H21" s="33">
        <f>-'3.3 Balansräkning'!H16</f>
        <v>0</v>
      </c>
      <c r="I21" s="33">
        <f>-'3.3 Balansräkning'!I16</f>
        <v>0</v>
      </c>
      <c r="J21" s="33">
        <f>-'3.3 Balansräkning'!J16</f>
        <v>0</v>
      </c>
      <c r="K21" s="33">
        <f>-'3.3 Balansräkning'!K16</f>
        <v>0</v>
      </c>
      <c r="L21" s="33">
        <f>-'3.3 Balansräkning'!L16</f>
        <v>0</v>
      </c>
      <c r="M21" s="33">
        <f>-'3.3 Balansräkning'!M16</f>
        <v>0</v>
      </c>
      <c r="N21" s="33">
        <f>-'3.3 Balansräkning'!N16</f>
        <v>0</v>
      </c>
      <c r="O21" s="33">
        <f>-'3.3 Balansräkning'!O16</f>
        <v>0</v>
      </c>
      <c r="P21" s="33">
        <f>-'3.3 Balansräkning'!P16</f>
        <v>0</v>
      </c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pans="2:16384" x14ac:dyDescent="0.25">
      <c r="B22" s="49" t="s">
        <v>82</v>
      </c>
      <c r="C22" s="19">
        <f>+C21</f>
        <v>-1817220</v>
      </c>
      <c r="D22" s="19">
        <f t="shared" ref="D22:O22" si="4">+D21</f>
        <v>0</v>
      </c>
      <c r="E22" s="19">
        <f t="shared" si="4"/>
        <v>0</v>
      </c>
      <c r="F22" s="19">
        <f t="shared" si="4"/>
        <v>0</v>
      </c>
      <c r="G22" s="19">
        <f t="shared" si="4"/>
        <v>-150000</v>
      </c>
      <c r="H22" s="19">
        <f t="shared" si="4"/>
        <v>0</v>
      </c>
      <c r="I22" s="19">
        <f t="shared" si="4"/>
        <v>0</v>
      </c>
      <c r="J22" s="19">
        <f t="shared" si="4"/>
        <v>0</v>
      </c>
      <c r="K22" s="19">
        <f t="shared" si="4"/>
        <v>0</v>
      </c>
      <c r="L22" s="19">
        <f t="shared" si="4"/>
        <v>0</v>
      </c>
      <c r="M22" s="19">
        <f t="shared" si="4"/>
        <v>0</v>
      </c>
      <c r="N22" s="19">
        <f t="shared" si="4"/>
        <v>0</v>
      </c>
      <c r="O22" s="19">
        <f t="shared" si="4"/>
        <v>0</v>
      </c>
      <c r="P22" s="19">
        <f t="shared" ref="P22" si="5">+P21</f>
        <v>0</v>
      </c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pans="2:16384" x14ac:dyDescent="0.25">
      <c r="B23" s="10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spans="2:16384" x14ac:dyDescent="0.25">
      <c r="B24" s="50" t="s">
        <v>83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pans="2:16384" x14ac:dyDescent="0.25">
      <c r="B25" s="10" t="s">
        <v>84</v>
      </c>
      <c r="C25" s="33">
        <f>+'3.3 Balansräkning'!C41-'2.2 Balansräkning'!K41</f>
        <v>1796006</v>
      </c>
      <c r="D25" s="33">
        <f>+'3.3 Balansräkning'!D41-'3.3 Balansräkning'!C41</f>
        <v>-210230.40000000037</v>
      </c>
      <c r="E25" s="33">
        <f>+'3.3 Balansräkning'!E41-'3.3 Balansräkning'!D41</f>
        <v>-203923.4879999999</v>
      </c>
      <c r="F25" s="33">
        <f>+'3.3 Balansräkning'!F41-'3.3 Balansräkning'!E41</f>
        <v>-131870.52223999985</v>
      </c>
      <c r="G25" s="33">
        <f>+'3.3 Balansräkning'!G41-'3.3 Balansräkning'!F41</f>
        <v>-129233.11179520003</v>
      </c>
      <c r="H25" s="33">
        <f>+'3.3 Balansräkning'!H41-'3.3 Balansräkning'!G41</f>
        <v>-126648.44955929648</v>
      </c>
      <c r="I25" s="33">
        <f>+'3.3 Balansräkning'!I41-'3.3 Balansräkning'!H41</f>
        <v>-186173.22085216548</v>
      </c>
      <c r="J25" s="33">
        <f>+'3.3 Balansräkning'!J41-'3.3 Balansräkning'!I41</f>
        <v>-240784.03230213374</v>
      </c>
      <c r="K25" s="33">
        <f>+'3.3 Balansräkning'!K41-'3.3 Balansräkning'!J41</f>
        <v>-231152.67101004813</v>
      </c>
      <c r="L25" s="33">
        <f>+'3.3 Balansräkning'!L41-'3.3 Balansräkning'!K41</f>
        <v>-221906.56416964624</v>
      </c>
      <c r="M25" s="33">
        <f>+'3.3 Balansräkning'!M41-'3.3 Balansräkning'!L41</f>
        <v>-266287.87700357568</v>
      </c>
      <c r="N25" s="33">
        <f>+'3.3 Balansräkning'!N41-'3.3 Balansräkning'!M41</f>
        <v>-252973.48315339722</v>
      </c>
      <c r="O25" s="33">
        <f>+'3.3 Balansräkning'!O41-'3.3 Balansräkning'!N41</f>
        <v>-240324.80899572745</v>
      </c>
      <c r="P25" s="33">
        <f>+'3.3 Balansräkning'!P41-'3.3 Balansräkning'!O41</f>
        <v>-228308.56854594033</v>
      </c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pans="2:16384" x14ac:dyDescent="0.25">
      <c r="B26" s="49" t="s">
        <v>85</v>
      </c>
      <c r="C26" s="19">
        <f>+C25</f>
        <v>1796006</v>
      </c>
      <c r="D26" s="19">
        <f t="shared" ref="D26:O26" si="6">+D25</f>
        <v>-210230.40000000037</v>
      </c>
      <c r="E26" s="19">
        <f t="shared" si="6"/>
        <v>-203923.4879999999</v>
      </c>
      <c r="F26" s="19">
        <f t="shared" si="6"/>
        <v>-131870.52223999985</v>
      </c>
      <c r="G26" s="19">
        <f t="shared" si="6"/>
        <v>-129233.11179520003</v>
      </c>
      <c r="H26" s="19">
        <f t="shared" si="6"/>
        <v>-126648.44955929648</v>
      </c>
      <c r="I26" s="19">
        <f t="shared" si="6"/>
        <v>-186173.22085216548</v>
      </c>
      <c r="J26" s="19">
        <f t="shared" si="6"/>
        <v>-240784.03230213374</v>
      </c>
      <c r="K26" s="19">
        <f t="shared" si="6"/>
        <v>-231152.67101004813</v>
      </c>
      <c r="L26" s="19">
        <f t="shared" si="6"/>
        <v>-221906.56416964624</v>
      </c>
      <c r="M26" s="19">
        <f t="shared" si="6"/>
        <v>-266287.87700357568</v>
      </c>
      <c r="N26" s="19">
        <f t="shared" si="6"/>
        <v>-252973.48315339722</v>
      </c>
      <c r="O26" s="19">
        <f t="shared" si="6"/>
        <v>-240324.80899572745</v>
      </c>
      <c r="P26" s="19">
        <f t="shared" ref="P26" si="7">+P25</f>
        <v>-228308.56854594033</v>
      </c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pans="2:16384" x14ac:dyDescent="0.25">
      <c r="B27" s="10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spans="2:16384" x14ac:dyDescent="0.25">
      <c r="B28" s="54" t="s">
        <v>86</v>
      </c>
      <c r="C28" s="18">
        <f>+C26+C22+C18</f>
        <v>132613</v>
      </c>
      <c r="D28" s="18">
        <f t="shared" ref="D28:O28" si="8">+D26+D22+D18</f>
        <v>-82674.054374969783</v>
      </c>
      <c r="E28" s="18">
        <f t="shared" si="8"/>
        <v>-2858.9726673480764</v>
      </c>
      <c r="F28" s="18">
        <f t="shared" si="8"/>
        <v>83609.359833523602</v>
      </c>
      <c r="G28" s="18">
        <f t="shared" si="8"/>
        <v>-34052.685977974266</v>
      </c>
      <c r="H28" s="18">
        <f t="shared" si="8"/>
        <v>134051.18978778145</v>
      </c>
      <c r="I28" s="18">
        <f t="shared" si="8"/>
        <v>78585.439614118251</v>
      </c>
      <c r="J28" s="18">
        <f t="shared" si="8"/>
        <v>30582.085691419896</v>
      </c>
      <c r="K28" s="18">
        <f t="shared" si="8"/>
        <v>47175.124458180915</v>
      </c>
      <c r="L28" s="18">
        <f t="shared" si="8"/>
        <v>63492.90575236507</v>
      </c>
      <c r="M28" s="18">
        <f t="shared" si="8"/>
        <v>27665.96663566964</v>
      </c>
      <c r="N28" s="18">
        <f t="shared" si="8"/>
        <v>49799.675190091424</v>
      </c>
      <c r="O28" s="18">
        <f t="shared" si="8"/>
        <v>71500.173025355092</v>
      </c>
      <c r="P28" s="18">
        <f t="shared" ref="P28" si="9">+P26+P22+P18</f>
        <v>201215.87209140032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spans="2:16384" x14ac:dyDescent="0.25">
      <c r="B29" s="50" t="s">
        <v>87</v>
      </c>
      <c r="C29" s="47">
        <f>+'2.2 Balansräkning'!K24</f>
        <v>9648</v>
      </c>
      <c r="D29" s="47">
        <f>+C30</f>
        <v>142261</v>
      </c>
      <c r="E29" s="47">
        <f t="shared" ref="E29:P29" si="10">+D30</f>
        <v>59586.945625030217</v>
      </c>
      <c r="F29" s="47">
        <f t="shared" si="10"/>
        <v>56727.972957682141</v>
      </c>
      <c r="G29" s="47">
        <f t="shared" si="10"/>
        <v>140337.33279120573</v>
      </c>
      <c r="H29" s="47">
        <f t="shared" si="10"/>
        <v>106284.64681323146</v>
      </c>
      <c r="I29" s="47">
        <f t="shared" si="10"/>
        <v>240335.83660101291</v>
      </c>
      <c r="J29" s="47">
        <f t="shared" si="10"/>
        <v>318921.27621513116</v>
      </c>
      <c r="K29" s="47">
        <f t="shared" si="10"/>
        <v>349503.36190655106</v>
      </c>
      <c r="L29" s="47">
        <f t="shared" si="10"/>
        <v>396678.48636473197</v>
      </c>
      <c r="M29" s="47">
        <f t="shared" si="10"/>
        <v>460171.39211709704</v>
      </c>
      <c r="N29" s="47">
        <f t="shared" si="10"/>
        <v>487837.35875276668</v>
      </c>
      <c r="O29" s="47">
        <f t="shared" si="10"/>
        <v>537637.03394285811</v>
      </c>
      <c r="P29" s="47">
        <f t="shared" si="10"/>
        <v>609137.2069682132</v>
      </c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spans="2:16384" x14ac:dyDescent="0.25">
      <c r="B30" s="49" t="s">
        <v>88</v>
      </c>
      <c r="C30" s="19">
        <f>+C29+C28</f>
        <v>142261</v>
      </c>
      <c r="D30" s="19">
        <f>+D29+D28</f>
        <v>59586.945625030217</v>
      </c>
      <c r="E30" s="19">
        <f t="shared" ref="E30:O30" si="11">+E29+E28</f>
        <v>56727.972957682141</v>
      </c>
      <c r="F30" s="19">
        <f t="shared" si="11"/>
        <v>140337.33279120573</v>
      </c>
      <c r="G30" s="19">
        <f t="shared" si="11"/>
        <v>106284.64681323146</v>
      </c>
      <c r="H30" s="19">
        <f t="shared" si="11"/>
        <v>240335.83660101291</v>
      </c>
      <c r="I30" s="19">
        <f t="shared" si="11"/>
        <v>318921.27621513116</v>
      </c>
      <c r="J30" s="19">
        <f t="shared" si="11"/>
        <v>349503.36190655106</v>
      </c>
      <c r="K30" s="19">
        <f t="shared" si="11"/>
        <v>396678.48636473197</v>
      </c>
      <c r="L30" s="19">
        <f t="shared" si="11"/>
        <v>460171.39211709704</v>
      </c>
      <c r="M30" s="19">
        <f t="shared" si="11"/>
        <v>487837.35875276668</v>
      </c>
      <c r="N30" s="19">
        <f t="shared" si="11"/>
        <v>537637.03394285811</v>
      </c>
      <c r="O30" s="19">
        <f t="shared" si="11"/>
        <v>609137.2069682132</v>
      </c>
      <c r="P30" s="19">
        <f t="shared" ref="P30" si="12">+P29+P28</f>
        <v>810353.07905961352</v>
      </c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spans="2:16384" x14ac:dyDescent="0.25"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spans="2:16384" x14ac:dyDescent="0.25"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spans="3:16384" x14ac:dyDescent="0.25"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spans="3:16384" hidden="1" x14ac:dyDescent="0.25"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  <row r="35" spans="3:16384" hidden="1" x14ac:dyDescent="0.25"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3:16384" hidden="1" x14ac:dyDescent="0.25"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3:16384" hidden="1" x14ac:dyDescent="0.25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  <c r="XFD37" s="1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1 Innehållsförteckning</vt:lpstr>
      <vt:lpstr>2.1 Resultaträkning</vt:lpstr>
      <vt:lpstr>2.2 Balansräkning</vt:lpstr>
      <vt:lpstr>2.3 Kassaflödesanalys</vt:lpstr>
      <vt:lpstr>3.1 Antaganden</vt:lpstr>
      <vt:lpstr>3.2 Resultaträkning</vt:lpstr>
      <vt:lpstr>3.3 Balansräkning</vt:lpstr>
      <vt:lpstr>3.4 Kassaflödesanalys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Hojman</dc:creator>
  <cp:lastModifiedBy>Oldrup</cp:lastModifiedBy>
  <cp:lastPrinted>2018-06-02T06:34:34Z</cp:lastPrinted>
  <dcterms:created xsi:type="dcterms:W3CDTF">2018-06-01T17:03:20Z</dcterms:created>
  <dcterms:modified xsi:type="dcterms:W3CDTF">2019-01-19T08:15:54Z</dcterms:modified>
</cp:coreProperties>
</file>